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njeda-my.sharepoint.com/personal/jhalo_njeda_com/Documents/Audit and Compliance Services/Reporting/Transparency/Transparency- 202408/Cert and Completed/"/>
    </mc:Choice>
  </mc:AlternateContent>
  <xr:revisionPtr revIDLastSave="1746" documentId="8_{79FC4890-3F3C-4EA0-8D9D-A9CA7CAA5D66}" xr6:coauthVersionLast="47" xr6:coauthVersionMax="47" xr10:uidLastSave="{1F7B4690-C949-48D5-8215-940B3C3B10BC}"/>
  <bookViews>
    <workbookView xWindow="22932" yWindow="-108" windowWidth="23256" windowHeight="12576" xr2:uid="{00000000-000D-0000-FFFF-FFFF00000000}"/>
  </bookViews>
  <sheets>
    <sheet name="Sheet1" sheetId="1"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7" i="1" l="1"/>
  <c r="J317" i="1"/>
  <c r="K312" i="1"/>
  <c r="J312" i="1"/>
  <c r="I309" i="1"/>
  <c r="I314" i="1"/>
  <c r="I311" i="1"/>
  <c r="K313" i="1"/>
  <c r="J313" i="1"/>
  <c r="I313" i="1"/>
  <c r="H313" i="1"/>
  <c r="G313" i="1"/>
  <c r="E313" i="1"/>
  <c r="D313" i="1"/>
  <c r="C318" i="1"/>
  <c r="U227" i="1" l="1"/>
  <c r="U228" i="1" s="1"/>
  <c r="C183" i="1"/>
  <c r="G183" i="1"/>
  <c r="I183" i="1"/>
  <c r="J183" i="1"/>
  <c r="K183" i="1"/>
  <c r="L183" i="1"/>
  <c r="P183" i="1"/>
  <c r="N183" i="1"/>
  <c r="M183" i="1"/>
  <c r="T183" i="1"/>
  <c r="R183" i="1"/>
  <c r="Q183" i="1"/>
  <c r="X183" i="1"/>
  <c r="V183" i="1"/>
  <c r="U183" i="1"/>
  <c r="AB183" i="1"/>
  <c r="Z183" i="1"/>
  <c r="Y183" i="1"/>
  <c r="AF183" i="1"/>
  <c r="AD183" i="1"/>
  <c r="AC183" i="1"/>
  <c r="AJ183" i="1"/>
  <c r="AH183" i="1"/>
  <c r="AG183" i="1"/>
  <c r="AN183" i="1"/>
  <c r="AL183" i="1"/>
  <c r="AK183" i="1"/>
  <c r="AR183" i="1"/>
  <c r="AP183" i="1"/>
  <c r="AO183" i="1"/>
  <c r="AS183" i="1"/>
  <c r="AT183" i="1"/>
  <c r="AV183" i="1"/>
  <c r="I312" i="1"/>
  <c r="H312" i="1"/>
  <c r="H314" i="1"/>
  <c r="E312" i="1"/>
  <c r="C22" i="1"/>
  <c r="G22" i="1"/>
  <c r="I22" i="1"/>
  <c r="J22" i="1"/>
  <c r="Q22" i="1"/>
  <c r="P22" i="1"/>
  <c r="O22" i="1"/>
  <c r="N22" i="1"/>
  <c r="M22" i="1"/>
  <c r="L22" i="1"/>
  <c r="T22" i="1"/>
  <c r="S22" i="1"/>
  <c r="R22" i="1"/>
  <c r="W22" i="1"/>
  <c r="V22" i="1"/>
  <c r="U22" i="1"/>
  <c r="Z22" i="1"/>
  <c r="Y22" i="1"/>
  <c r="X22" i="1"/>
  <c r="AC22" i="1"/>
  <c r="AB22" i="1"/>
  <c r="AA22" i="1"/>
  <c r="AF22" i="1"/>
  <c r="AE22" i="1"/>
  <c r="AD22" i="1"/>
  <c r="AI22" i="1"/>
  <c r="AH22" i="1"/>
  <c r="AG22" i="1"/>
  <c r="AJ22" i="1"/>
  <c r="AK22" i="1"/>
  <c r="AL22" i="1"/>
  <c r="I307" i="1" l="1"/>
  <c r="H315" i="1"/>
  <c r="G315" i="1"/>
  <c r="E315" i="1"/>
  <c r="D315" i="1"/>
  <c r="I289" i="1" l="1"/>
  <c r="U289" i="1"/>
  <c r="T289" i="1"/>
  <c r="S289" i="1"/>
  <c r="R289" i="1"/>
  <c r="Q289" i="1"/>
  <c r="P289" i="1"/>
  <c r="M289" i="1"/>
  <c r="L289" i="1"/>
  <c r="K289" i="1"/>
  <c r="J289" i="1"/>
  <c r="G289" i="1"/>
  <c r="C289" i="1"/>
  <c r="U245" i="1" l="1"/>
  <c r="I227" i="1"/>
  <c r="J227" i="1"/>
  <c r="G227" i="1"/>
  <c r="T227" i="1"/>
  <c r="S227" i="1"/>
  <c r="R227" i="1"/>
  <c r="Q227" i="1"/>
  <c r="P227" i="1"/>
  <c r="O227" i="1"/>
  <c r="N227" i="1"/>
  <c r="C227" i="1"/>
  <c r="I306" i="1"/>
  <c r="U217" i="1"/>
  <c r="E311" i="1"/>
  <c r="E310" i="1"/>
  <c r="K311" i="1"/>
  <c r="J311" i="1"/>
  <c r="H311" i="1"/>
  <c r="G311" i="1"/>
  <c r="G312" i="1"/>
  <c r="I174" i="1"/>
  <c r="AN124" i="1"/>
  <c r="G310" i="1"/>
  <c r="K310" i="1"/>
  <c r="J310" i="1"/>
  <c r="K309" i="1"/>
  <c r="J309" i="1"/>
  <c r="K308" i="1"/>
  <c r="J308" i="1"/>
  <c r="H309" i="1"/>
  <c r="G314" i="1" l="1"/>
  <c r="E314" i="1"/>
  <c r="T245" i="1"/>
  <c r="I305" i="1"/>
  <c r="I303" i="1"/>
  <c r="AS199" i="1"/>
  <c r="AR199" i="1"/>
  <c r="AQ199" i="1"/>
  <c r="AP199" i="1"/>
  <c r="AO199" i="1"/>
  <c r="AN199" i="1"/>
  <c r="T217" i="1" l="1"/>
  <c r="S245" i="1" l="1"/>
  <c r="AJ124" i="1"/>
  <c r="G309" i="1"/>
  <c r="S217" i="1"/>
  <c r="I310" i="1" l="1"/>
  <c r="D309" i="1"/>
  <c r="E309" i="1"/>
  <c r="J303" i="1" l="1"/>
  <c r="C245" i="1" l="1"/>
  <c r="R245" i="1"/>
  <c r="Q245" i="1"/>
  <c r="P245" i="1"/>
  <c r="O245" i="1"/>
  <c r="N245" i="1"/>
  <c r="M245" i="1"/>
  <c r="L245" i="1"/>
  <c r="K245" i="1"/>
  <c r="J245" i="1"/>
  <c r="I245" i="1"/>
  <c r="G245" i="1"/>
  <c r="U246" i="1" l="1"/>
  <c r="AM199" i="1"/>
  <c r="AL199" i="1"/>
  <c r="AK199" i="1"/>
  <c r="AJ64" i="1" l="1"/>
  <c r="E308" i="1" l="1"/>
  <c r="G308" i="1"/>
  <c r="I138" i="1"/>
  <c r="D308" i="1"/>
  <c r="D316" i="1" s="1"/>
  <c r="R217" i="1"/>
  <c r="AL23" i="1" l="1"/>
  <c r="AJ199" i="1"/>
  <c r="AI199" i="1"/>
  <c r="AH199" i="1"/>
  <c r="AF114" i="1"/>
  <c r="AV184" i="1" l="1"/>
  <c r="H310" i="1"/>
  <c r="K307" i="1" l="1"/>
  <c r="H307" i="1"/>
  <c r="G307" i="1" l="1"/>
  <c r="Q217" i="1"/>
  <c r="AG199" i="1" l="1"/>
  <c r="AF199" i="1"/>
  <c r="AE199" i="1"/>
  <c r="K303" i="1" l="1"/>
  <c r="K305" i="1"/>
  <c r="C217" i="1" l="1"/>
  <c r="O217" i="1"/>
  <c r="N217" i="1"/>
  <c r="M217" i="1"/>
  <c r="L217" i="1"/>
  <c r="K217" i="1"/>
  <c r="J217" i="1"/>
  <c r="I217" i="1"/>
  <c r="G217" i="1"/>
  <c r="P203" i="1"/>
  <c r="I304" i="1" s="1"/>
  <c r="H306" i="1"/>
  <c r="J307" i="1"/>
  <c r="K306" i="1"/>
  <c r="K316" i="1" s="1"/>
  <c r="J306" i="1"/>
  <c r="J305" i="1"/>
  <c r="AD199" i="1"/>
  <c r="AA199" i="1"/>
  <c r="X199" i="1"/>
  <c r="U199" i="1"/>
  <c r="R199" i="1"/>
  <c r="O199" i="1"/>
  <c r="Z199" i="1"/>
  <c r="Y199" i="1"/>
  <c r="W199" i="1"/>
  <c r="V199" i="1"/>
  <c r="T199" i="1"/>
  <c r="S199" i="1"/>
  <c r="Q199" i="1"/>
  <c r="P199" i="1"/>
  <c r="N199" i="1"/>
  <c r="M199" i="1"/>
  <c r="J199" i="1"/>
  <c r="O256" i="1"/>
  <c r="I308" i="1" s="1"/>
  <c r="N256" i="1"/>
  <c r="N289" i="1" s="1"/>
  <c r="AC199" i="1"/>
  <c r="AB199" i="1"/>
  <c r="C199" i="1"/>
  <c r="H305" i="1"/>
  <c r="H304" i="1"/>
  <c r="H303" i="1"/>
  <c r="K297" i="1"/>
  <c r="K298" i="1" s="1"/>
  <c r="J297" i="1"/>
  <c r="I297" i="1"/>
  <c r="G297" i="1"/>
  <c r="C297" i="1"/>
  <c r="L199" i="1"/>
  <c r="I199" i="1"/>
  <c r="G199" i="1"/>
  <c r="K199" i="1"/>
  <c r="G306" i="1"/>
  <c r="G305" i="1"/>
  <c r="G304" i="1"/>
  <c r="G303" i="1"/>
  <c r="E304" i="1"/>
  <c r="E303" i="1"/>
  <c r="E307" i="1"/>
  <c r="E306" i="1"/>
  <c r="E305" i="1"/>
  <c r="G316" i="1" l="1"/>
  <c r="O289" i="1"/>
  <c r="E316" i="1"/>
  <c r="J316" i="1"/>
  <c r="J319" i="1" s="1"/>
  <c r="H308" i="1"/>
  <c r="P217" i="1"/>
  <c r="U218" i="1" s="1"/>
  <c r="K319" i="1"/>
  <c r="E317" i="1"/>
  <c r="G317" i="1"/>
  <c r="H316" i="1" l="1"/>
  <c r="U290" i="1"/>
  <c r="E319" i="1"/>
  <c r="G319" i="1"/>
  <c r="I317" i="1" l="1"/>
  <c r="I319" i="1" s="1"/>
</calcChain>
</file>

<file path=xl/sharedStrings.xml><?xml version="1.0" encoding="utf-8"?>
<sst xmlns="http://schemas.openxmlformats.org/spreadsheetml/2006/main" count="1315" uniqueCount="407">
  <si>
    <t>Legacy Grow NJ*</t>
  </si>
  <si>
    <t>Project</t>
  </si>
  <si>
    <t>Municipality</t>
  </si>
  <si>
    <t>County</t>
  </si>
  <si>
    <t>Program</t>
  </si>
  <si>
    <t>Award Amount</t>
  </si>
  <si>
    <t>Term (Yrs)</t>
  </si>
  <si>
    <t>Minimum Capital Investment Required</t>
  </si>
  <si>
    <t>Capital Investment (At Issuance)</t>
  </si>
  <si>
    <t>Minimum Jobs Required (new and/or retained)</t>
  </si>
  <si>
    <t>Jobs Reported</t>
  </si>
  <si>
    <t>Certified Credit Amount</t>
  </si>
  <si>
    <t>P#</t>
  </si>
  <si>
    <t xml:space="preserve">New </t>
  </si>
  <si>
    <t>Retained</t>
  </si>
  <si>
    <t>Burlington Coat Factory Warehouse Corporation</t>
  </si>
  <si>
    <t>Florence</t>
  </si>
  <si>
    <t>Burlington</t>
  </si>
  <si>
    <t>Legacy Grow NJ</t>
  </si>
  <si>
    <t>Destination Maternity Corporation</t>
  </si>
  <si>
    <t>Imperial Bag &amp; Paper Co., LLC</t>
  </si>
  <si>
    <t>Jersey City</t>
  </si>
  <si>
    <t>Hudson</t>
  </si>
  <si>
    <t>Royal Wine Corporation, Kenover Marketing Corporation, and affiliates</t>
  </si>
  <si>
    <t>Bayonne</t>
  </si>
  <si>
    <t>Honeywell International, Inc.</t>
  </si>
  <si>
    <t>Morris Plains</t>
  </si>
  <si>
    <t>Morris</t>
  </si>
  <si>
    <t>Ascena Retail Group and Dress Barn Inc.</t>
  </si>
  <si>
    <t>Mahwah</t>
  </si>
  <si>
    <t>Bergen</t>
  </si>
  <si>
    <t>NRG Energy Inc.</t>
  </si>
  <si>
    <t>West Windsor</t>
  </si>
  <si>
    <t>Mercer</t>
  </si>
  <si>
    <t>151 Foods LLC</t>
  </si>
  <si>
    <t>Bellmawr</t>
  </si>
  <si>
    <t>Camden</t>
  </si>
  <si>
    <t>Lockheed Martin Corporation</t>
  </si>
  <si>
    <t>Moorestown</t>
  </si>
  <si>
    <t>United Parcel Service General Services Co.</t>
  </si>
  <si>
    <t>Parsippany-Troy Hills</t>
  </si>
  <si>
    <t>Memorial Sloan Kettering Cancer Center</t>
  </si>
  <si>
    <t>Middletown</t>
  </si>
  <si>
    <t>Monmouth</t>
  </si>
  <si>
    <t>Deep Foods</t>
  </si>
  <si>
    <t>Union</t>
  </si>
  <si>
    <t>Automatic Switch</t>
  </si>
  <si>
    <t>Florham Park</t>
  </si>
  <si>
    <t>Total Legacy Grow NJ Certified Credit Amount</t>
  </si>
  <si>
    <t>EOA Grow NJ *</t>
  </si>
  <si>
    <t>Minimum Jobs Required</t>
  </si>
  <si>
    <t>Certified Median Salary</t>
  </si>
  <si>
    <t>WebiMax LLC  **</t>
  </si>
  <si>
    <t>EOA Grow NJ</t>
  </si>
  <si>
    <t>The Cooper Health System ****</t>
  </si>
  <si>
    <t>Eltman Law, P.C.</t>
  </si>
  <si>
    <t>First Data Corporation</t>
  </si>
  <si>
    <t>Forbes Media LLC &amp; Forbes Media Holdings LLC</t>
  </si>
  <si>
    <t>n/a</t>
  </si>
  <si>
    <t>Insight Catastrophe Group, LLC</t>
  </si>
  <si>
    <t>Interpool, Inc. d/b/a TRAC Intermodal   (1)</t>
  </si>
  <si>
    <t>Plainsboro</t>
  </si>
  <si>
    <t>Middlesex</t>
  </si>
  <si>
    <t>Jacmel Jewlery, Inc.</t>
  </si>
  <si>
    <t>Secaucus</t>
  </si>
  <si>
    <t>Northern Leasing Systems, Inc.</t>
  </si>
  <si>
    <t>Patella Construction Corp.</t>
  </si>
  <si>
    <t>Passaic City</t>
  </si>
  <si>
    <t>Passaic</t>
  </si>
  <si>
    <t>Plastics Consulting and Manufacturing Company, Inc.</t>
  </si>
  <si>
    <t>Principis Capital LLC *****</t>
  </si>
  <si>
    <t>Univision Communications Inc. and Subsidiaries</t>
  </si>
  <si>
    <t>Vineland</t>
  </si>
  <si>
    <t>Cumberland</t>
  </si>
  <si>
    <t>Contemporary Graphics and Bindery, Inc. and Affiliates</t>
  </si>
  <si>
    <t>RBC Capital Markets, LLC</t>
  </si>
  <si>
    <t xml:space="preserve">Audio and Video Labs, Inc. </t>
  </si>
  <si>
    <t>Pennsauken</t>
  </si>
  <si>
    <t xml:space="preserve">D' Artagnan, Inc.  </t>
  </si>
  <si>
    <t>Union Twp</t>
  </si>
  <si>
    <t>Gaming Laboratories International, LLC</t>
  </si>
  <si>
    <t>Lakewood</t>
  </si>
  <si>
    <t>Ocean</t>
  </si>
  <si>
    <t>Jimmy's Cookies</t>
  </si>
  <si>
    <t>Clifton</t>
  </si>
  <si>
    <t xml:space="preserve">Showman Fabricators, Inc. </t>
  </si>
  <si>
    <t>Wenner Bread Products, Inc.</t>
  </si>
  <si>
    <t>New Brunswick</t>
  </si>
  <si>
    <t>Solvay USA, Inc.   (1)</t>
  </si>
  <si>
    <t xml:space="preserve">World Business Lenders, LLC </t>
  </si>
  <si>
    <t>Barrette Outdoor Living, Inc.</t>
  </si>
  <si>
    <t>Galloway</t>
  </si>
  <si>
    <t>Atlantic</t>
  </si>
  <si>
    <t>Charles Komar &amp; Sons, Inc.</t>
  </si>
  <si>
    <t>JPMorgan Chase Bank, N.A.</t>
  </si>
  <si>
    <t>Liscio's Italian Bakery, Inc.</t>
  </si>
  <si>
    <t>Glassboro</t>
  </si>
  <si>
    <t>Gloucester</t>
  </si>
  <si>
    <t>Northeast Precast LLC</t>
  </si>
  <si>
    <t>Millville</t>
  </si>
  <si>
    <t>Rent the Runway, Inc.</t>
  </si>
  <si>
    <t>Sandy Alexander, Inc.</t>
  </si>
  <si>
    <t>Suez Water Management &amp; Services Inc   (1)</t>
  </si>
  <si>
    <t>Paramus</t>
  </si>
  <si>
    <t>VF Sportswear</t>
  </si>
  <si>
    <t>Sandoz Inc.   (1)</t>
  </si>
  <si>
    <t>Flight Centre Travel Group USA f/k/a FC USA, Inc. (1)</t>
  </si>
  <si>
    <t>Montvale</t>
  </si>
  <si>
    <t xml:space="preserve">Amerinox Processing, Inc. </t>
  </si>
  <si>
    <t>Brown Brothers Harriman &amp; Co.</t>
  </si>
  <si>
    <t xml:space="preserve">FX DirectDealer, LLC </t>
  </si>
  <si>
    <t xml:space="preserve">Grocery Delivery E-Services USA Inc. d/b/a HelloFresh </t>
  </si>
  <si>
    <t>Newark</t>
  </si>
  <si>
    <t>Essex</t>
  </si>
  <si>
    <t xml:space="preserve">IPAK, Inc. </t>
  </si>
  <si>
    <t>Master Metal Polishing Corp</t>
  </si>
  <si>
    <t>Paterson</t>
  </si>
  <si>
    <t>Philadelphia 76ers, L.P.</t>
  </si>
  <si>
    <t>RVM Enterprises, Inc.</t>
  </si>
  <si>
    <t>WallachBeth Capital, LLC</t>
  </si>
  <si>
    <t>Fidessa Corporation</t>
  </si>
  <si>
    <t>Holtec International</t>
  </si>
  <si>
    <t>Omnicom Group Inc.</t>
  </si>
  <si>
    <t>Material Handling Supply, Inc.</t>
  </si>
  <si>
    <t>Pollaro Custom Furniture</t>
  </si>
  <si>
    <t>Hillside Township</t>
  </si>
  <si>
    <t>Volunteers of America Delaware Valley, Inc.</t>
  </si>
  <si>
    <t xml:space="preserve">C2 Imaging LLC </t>
  </si>
  <si>
    <t>Artech Information Systems L.L.C.   (1)</t>
  </si>
  <si>
    <t>Morris Twp</t>
  </si>
  <si>
    <t xml:space="preserve">GBT III US LLC </t>
  </si>
  <si>
    <t>Groupe SEB USA (1)</t>
  </si>
  <si>
    <t>The Hibbert Company</t>
  </si>
  <si>
    <t>Trenton</t>
  </si>
  <si>
    <t>LI 2000, Inc. (Century 21 Department Stores)</t>
  </si>
  <si>
    <t xml:space="preserve">Rainforest Distribution Corp. </t>
  </si>
  <si>
    <t>Taiho Oncology, Inc</t>
  </si>
  <si>
    <t>Princeton</t>
  </si>
  <si>
    <t>Accurate Box Company, Inc.</t>
  </si>
  <si>
    <t>Comar Holding Company, LLC and subsidiaries (1)</t>
  </si>
  <si>
    <t>Voorhees</t>
  </si>
  <si>
    <t xml:space="preserve">Frederick Goldman, Inc. </t>
  </si>
  <si>
    <t>Kering Eyewear USA, Inc. (1)</t>
  </si>
  <si>
    <t>Bridgewater</t>
  </si>
  <si>
    <t>Somerset</t>
  </si>
  <si>
    <t xml:space="preserve">ACME Cosmetic Components, LLC </t>
  </si>
  <si>
    <t>Advisor Group, Inc.</t>
  </si>
  <si>
    <t xml:space="preserve">The Interpublic Group of Companies, Inc. </t>
  </si>
  <si>
    <t xml:space="preserve">NICE Systems, Inc. </t>
  </si>
  <si>
    <t>Hoboken</t>
  </si>
  <si>
    <t>LiDestri Foods, Inc. and Pennsauken Packing Company, LLC</t>
  </si>
  <si>
    <t xml:space="preserve">Quality Packaging Specialists International, LLC </t>
  </si>
  <si>
    <t>Newell Brands</t>
  </si>
  <si>
    <t>Medidata Solutions, Inc.</t>
  </si>
  <si>
    <t>Woodbridge</t>
  </si>
  <si>
    <t xml:space="preserve">Advanced Hydraulic Systems, Inc. </t>
  </si>
  <si>
    <t>New Classic Cooking LLC</t>
  </si>
  <si>
    <t>New York Popular, Inc.</t>
  </si>
  <si>
    <t>Carteret</t>
  </si>
  <si>
    <t>Clover Health LLC</t>
  </si>
  <si>
    <t>GoEMerchant LLC</t>
  </si>
  <si>
    <t>Just Greens, LLC dba Aerofarms *</t>
  </si>
  <si>
    <t>Allied Specialty Foods, Inc.</t>
  </si>
  <si>
    <t>Axtria, Inc. (1)</t>
  </si>
  <si>
    <t>Berkeley Heights</t>
  </si>
  <si>
    <t xml:space="preserve">B Positive National Blood Services, LLC and Affiliates </t>
  </si>
  <si>
    <t>Direct Energy GP, LLC</t>
  </si>
  <si>
    <t>Iselin</t>
  </si>
  <si>
    <t>Insurance Services Office, Inc.</t>
  </si>
  <si>
    <t>LTC Consulting Services, LLC</t>
  </si>
  <si>
    <t>Microcision LLC</t>
  </si>
  <si>
    <t xml:space="preserve">Pearl Capital Business Funding, LLC </t>
  </si>
  <si>
    <t>SS&amp;C Technologies, Inc.</t>
  </si>
  <si>
    <t>Tokio Marine North America, Inc.</t>
  </si>
  <si>
    <t>AP&amp;G Co., Inc.</t>
  </si>
  <si>
    <t xml:space="preserve">Barry Callebaut USA LLC </t>
  </si>
  <si>
    <t>Corporate Synergies Group, LLC</t>
  </si>
  <si>
    <t xml:space="preserve">Fabuwood Cabinetry Corp. </t>
  </si>
  <si>
    <t>LBU Inc.</t>
  </si>
  <si>
    <t>Rubbercycle, LLC</t>
  </si>
  <si>
    <t>Subaru of America, Inc.</t>
  </si>
  <si>
    <t>PsychoGenics Inc. (1)</t>
  </si>
  <si>
    <t>United States Cold Storage, Inc.</t>
  </si>
  <si>
    <t>Jaguar Land Rover North America</t>
  </si>
  <si>
    <t>Spray-Tek Inc</t>
  </si>
  <si>
    <t>Lockheed Martic Corp. and Affil.</t>
  </si>
  <si>
    <t>Princeton Tectonics</t>
  </si>
  <si>
    <t xml:space="preserve">EMR Eastern LLC and affiliates </t>
  </si>
  <si>
    <t>F&amp;S Produce Co., Inc.</t>
  </si>
  <si>
    <t>Biogenesis, Inc.</t>
  </si>
  <si>
    <t xml:space="preserve">Independent Chemical Corporation </t>
  </si>
  <si>
    <t>Adare Pharmaceuticals (1)</t>
  </si>
  <si>
    <t>Lawrenceville</t>
  </si>
  <si>
    <t xml:space="preserve">W&amp;W Jewelers Inc. </t>
  </si>
  <si>
    <t xml:space="preserve">Eastern Propak LLC </t>
  </si>
  <si>
    <t>United States Fire Insurance Company</t>
  </si>
  <si>
    <t>Audible Inc</t>
  </si>
  <si>
    <t>Chelten House Products</t>
  </si>
  <si>
    <t>Logan</t>
  </si>
  <si>
    <t>Nestle HealthCare Nutrition</t>
  </si>
  <si>
    <t>Barclays Services Corp.</t>
  </si>
  <si>
    <t>Hanover</t>
  </si>
  <si>
    <t>Superflex Ltd.</t>
  </si>
  <si>
    <t>Elizabeth</t>
  </si>
  <si>
    <t>South Jersey Gas Co.</t>
  </si>
  <si>
    <t>Atlantic City</t>
  </si>
  <si>
    <t>Tory Burch LLC</t>
  </si>
  <si>
    <t>E-Retail Manager, Inc</t>
  </si>
  <si>
    <t>North Bergen</t>
  </si>
  <si>
    <t>Manhattan Telecom Corp.</t>
  </si>
  <si>
    <t>Holmdel</t>
  </si>
  <si>
    <t>New York Life Insurance Co.</t>
  </si>
  <si>
    <t>South Plainfield</t>
  </si>
  <si>
    <t>Kuehne + Nagel, Inc</t>
  </si>
  <si>
    <t>Sharp Electronics</t>
  </si>
  <si>
    <t>Resin Tech</t>
  </si>
  <si>
    <t>Conner Strong &amp; Buckelew Companies, LLC</t>
  </si>
  <si>
    <t>NFI, L.P.</t>
  </si>
  <si>
    <t>The Michaels Organization</t>
  </si>
  <si>
    <t>Infinite Herbs</t>
  </si>
  <si>
    <t>Gourmet Nut</t>
  </si>
  <si>
    <t>Perth Amboy</t>
  </si>
  <si>
    <t>Konica Minolta Business Solutions USA, Inc.</t>
  </si>
  <si>
    <t>Ramsey</t>
  </si>
  <si>
    <t>Mamiye Brothers Inc.</t>
  </si>
  <si>
    <t>Bayada Home Health Care</t>
  </si>
  <si>
    <t>US Mobile Phones, Inc.</t>
  </si>
  <si>
    <t>Total EOA Grow NJ Certified Credit Amount</t>
  </si>
  <si>
    <t>Urban Transit Hub Tax Credit Program (commercial projects only) *</t>
  </si>
  <si>
    <t>New</t>
  </si>
  <si>
    <t>Daily News, L.P.</t>
  </si>
  <si>
    <t>Commercial HUB</t>
  </si>
  <si>
    <t>Goya Foods, Inc.</t>
  </si>
  <si>
    <t>Wakefern Food Corp. (2)</t>
  </si>
  <si>
    <t>Panasonic Corporation of North America</t>
  </si>
  <si>
    <t>Prudential Financial Inc., and/or Affiliates</t>
  </si>
  <si>
    <t xml:space="preserve">Ahold eCommerce Sales Company LLC </t>
  </si>
  <si>
    <t>Newark Farmers Market, LLC</t>
  </si>
  <si>
    <t>Wakefern Food Corp. (1)</t>
  </si>
  <si>
    <t>Campbell Soup Company</t>
  </si>
  <si>
    <t>CSC TKR, LLC</t>
  </si>
  <si>
    <t>Urban Transit Hub Tax Credit Program (residential projects only) ***</t>
  </si>
  <si>
    <t>Transit Village</t>
  </si>
  <si>
    <t>Residential HUB</t>
  </si>
  <si>
    <t>Boraie Development LLC of a New Entity to be formed (133 Somerset &amp; Albany Sts)</t>
  </si>
  <si>
    <t>Grand LHN I Urban Renewal LLC</t>
  </si>
  <si>
    <t>Pennrose Properties LLC (Carl Miller Homes)</t>
  </si>
  <si>
    <t>College Avenue Redevelopment Associates</t>
  </si>
  <si>
    <t>70 Columbus Co., LLC</t>
  </si>
  <si>
    <t>TDAF I Springfield Avenue Holding Urban Renewal Company LLC</t>
  </si>
  <si>
    <t>Harborside Unit A LLC</t>
  </si>
  <si>
    <t>Journal Square Associates</t>
  </si>
  <si>
    <t>PHMII Associates, L.L.C.</t>
  </si>
  <si>
    <t>RBH-TRB Newark Holdings, LLC</t>
  </si>
  <si>
    <t>Two Center Street Urban Renewal, L.L.C.</t>
  </si>
  <si>
    <t>Matrix Upper Lot Urban Renewal, LLC</t>
  </si>
  <si>
    <t>36-54 Rector Street, LLC - Boraie Development, LLC</t>
  </si>
  <si>
    <t>Total UTHTC Certified Credit Amount (includes Comm &amp; Res Projects)</t>
  </si>
  <si>
    <t>EOA Economic Redevelopment and Growth (ERG) Program - Commercial ***</t>
  </si>
  <si>
    <t>Certified Credit Amount/Actual Taxes Reimbursed</t>
  </si>
  <si>
    <t xml:space="preserve">DVL, Inc. </t>
  </si>
  <si>
    <t>Kearny</t>
  </si>
  <si>
    <t>EOA Commerical</t>
  </si>
  <si>
    <t>East Grand Associates Urban Renewal Entity, LLC</t>
  </si>
  <si>
    <t>Tropicana Atlantic City Corporation</t>
  </si>
  <si>
    <t>Commercial ERG</t>
  </si>
  <si>
    <t>Total EOA ERG Commercial Cerftified Credit Amount</t>
  </si>
  <si>
    <t>Legacy Economic Redevelopment and Growth (ERG) Program***</t>
  </si>
  <si>
    <t>Saker ShopRites</t>
  </si>
  <si>
    <t>Somerville</t>
  </si>
  <si>
    <t>Port Imperial South LLC</t>
  </si>
  <si>
    <t>Weehawken</t>
  </si>
  <si>
    <t>DGMB Casino, LLC</t>
  </si>
  <si>
    <t>Harrison Hotel 1, LLC, or affiliate</t>
  </si>
  <si>
    <t>Harrison</t>
  </si>
  <si>
    <t xml:space="preserve">Jersey Gardens Lodging Associates LLP </t>
  </si>
  <si>
    <t>MSST Fidelco Properties, LLC</t>
  </si>
  <si>
    <t>TDAF I Pru Hotel Urban Renewal Company LLC</t>
  </si>
  <si>
    <t>810 Broad LLC</t>
  </si>
  <si>
    <t>Harrah's Atlantic City Holding Inc.</t>
  </si>
  <si>
    <t>Mt. Laurel Development, LLC</t>
  </si>
  <si>
    <t>Mount Laurel</t>
  </si>
  <si>
    <t>Catellus Teterboro Urban Renewal LLC</t>
  </si>
  <si>
    <t>Teterboro</t>
  </si>
  <si>
    <t>VNO Wayne Town Center LLC</t>
  </si>
  <si>
    <t>Wayne</t>
  </si>
  <si>
    <t>EOA Economic Redevelopment and Growth (ERG) Program- Residential***</t>
  </si>
  <si>
    <t>Broadway Associates 2010 LLC</t>
  </si>
  <si>
    <t>Residential ERG</t>
  </si>
  <si>
    <t>Washington Street University Housing Urban Renewal Associates, LLC</t>
  </si>
  <si>
    <t xml:space="preserve">PRC Campus Centers, LLC </t>
  </si>
  <si>
    <t>Ewing</t>
  </si>
  <si>
    <t>Glassboro Mixed-Use Urban Renewal, LLC</t>
  </si>
  <si>
    <t>Broadway Housing Partners LLC (1)</t>
  </si>
  <si>
    <t>Broadway Housing Partners LLC (2)</t>
  </si>
  <si>
    <t>ACTH Partners, LP</t>
  </si>
  <si>
    <t>GLTC Partners 2014, LLC</t>
  </si>
  <si>
    <t xml:space="preserve">Prospect Park Apartments Urban Renewal, LLC </t>
  </si>
  <si>
    <t>East Orange</t>
  </si>
  <si>
    <t>7 Long Street Doddtown LLC</t>
  </si>
  <si>
    <t xml:space="preserve">Carver Hall Urban Renewal, LP </t>
  </si>
  <si>
    <t>Building 101 Urban Renewal, LCC</t>
  </si>
  <si>
    <t>609 Hold, Co, LLC, 609 Broad Street, LLC and Commercial Broad Street, LLC</t>
  </si>
  <si>
    <t>Chambers Crescent</t>
  </si>
  <si>
    <t>GS FC Jersey City Pep 1 Urban Renewal</t>
  </si>
  <si>
    <t>North 25 Urban Renewal Preservation</t>
  </si>
  <si>
    <t>Roseville Ave Redevelopment Urban Renewal LLC</t>
  </si>
  <si>
    <t xml:space="preserve">Glassboro A-3 Urban Renewal, LLC </t>
  </si>
  <si>
    <t>Parkers Walk Urban Renewal, LLC</t>
  </si>
  <si>
    <t xml:space="preserve">Island Campus Redevelopment Associates LLC </t>
  </si>
  <si>
    <t xml:space="preserve">South Inlet Partners Urban Renewal LLC </t>
  </si>
  <si>
    <t xml:space="preserve">Beachway Urban Renewal Associates, L.P. and Life Management, Inc. </t>
  </si>
  <si>
    <t>Keansburg</t>
  </si>
  <si>
    <t>KRE Hamilton Urban Renewal, LLC</t>
  </si>
  <si>
    <t>Glassboro A-4 Urban Renewal, LLC</t>
  </si>
  <si>
    <t xml:space="preserve">Branch Village Urban Renewal, LLC and the Housing Authority of the City of Camden </t>
  </si>
  <si>
    <t xml:space="preserve">Lincoln Towers Urban Renewal, LP </t>
  </si>
  <si>
    <t>Riverside Arms Urban Renewal</t>
  </si>
  <si>
    <t>Downtown Works Urban Renewal Housing Co. LLC and Cooper-Grant Neighborhood Association</t>
  </si>
  <si>
    <t xml:space="preserve">Carrino Plaza Apartments LLC, The Greater Newark Housing Partnership Inc.  </t>
  </si>
  <si>
    <t xml:space="preserve">Cultural Center Redevelopment Associates Urban Renewal, LLC </t>
  </si>
  <si>
    <t>New Brunswick City</t>
  </si>
  <si>
    <t xml:space="preserve">New Horizons Phase I Urban Renewal Associates, LP and Newark Housing Authority </t>
  </si>
  <si>
    <t>Garden Spires</t>
  </si>
  <si>
    <t>Spruce Spires</t>
  </si>
  <si>
    <t>Rutgers, The State University of New Jersey</t>
  </si>
  <si>
    <t>Piscataway</t>
  </si>
  <si>
    <t>Total EOA ERG Residential  Certified Credit Amount</t>
  </si>
  <si>
    <t>ERG - Public Infrastructure Project (PIP) Tax Credit Program</t>
  </si>
  <si>
    <t>Wood-Ridge Development, LLC (School)</t>
  </si>
  <si>
    <t>Wood-Ridge</t>
  </si>
  <si>
    <t>PIP</t>
  </si>
  <si>
    <t>Wood-Ridge Development, LLC (Parks and Recreational Space)</t>
  </si>
  <si>
    <t>Wood-Ridge Development, LLC (Train Station)</t>
  </si>
  <si>
    <t>Total Public Infrastructure Project (PIP) Tax Credit Program</t>
  </si>
  <si>
    <t>All Certified &amp; Completed Projects</t>
  </si>
  <si>
    <t>Year</t>
  </si>
  <si>
    <t>Projects</t>
  </si>
  <si>
    <t>Capital Investment at Issuance</t>
  </si>
  <si>
    <t>Jobs Reported at Initial Annual Issuance ***</t>
  </si>
  <si>
    <t>Initial Credit Disbursement</t>
  </si>
  <si>
    <t>Subsuquent Credit Disbursements</t>
  </si>
  <si>
    <t xml:space="preserve">Retained </t>
  </si>
  <si>
    <t>GRAND TOTAL</t>
  </si>
  <si>
    <t>count once</t>
  </si>
  <si>
    <t>count each year</t>
  </si>
  <si>
    <t>*As an additional condition of approval, if the business reduces the total number of its full-time employees in the State by more than 20% from the tax period prior to approval, then the business forfeits its credit for that tax period and going forward until such time as its full-time employment in the State has increased to the 80% level.</t>
  </si>
  <si>
    <t xml:space="preserve">** WebiMax was approved in Dec. 2013 for tax credits up to $12.75 million over ten years related to the company’s expected creation of 100 new jobs and the retention of 50 “at risk” jobs.  The Board approved a modified project in Dec. 2014 to reflect the 50 retained jobs and 21 new jobs actually created (for a total of 71 full-time employees in Camden), resulting in a reduction to $6,035,000 over ten years. </t>
  </si>
  <si>
    <t>*** There is no legislative requirement under these programs related to job creation or retention, therefore this informtion is not tracked as part of the annual certification process.  Please note that the GRAND TOTAL jobs reported only reflects total for programs where job creation and retention is legislatively required.</t>
  </si>
  <si>
    <t>**** The 2015 new jobs for Cooper Health System were higher than anticipated, resulting in an award increase in a Garden State Growth Zone.</t>
  </si>
  <si>
    <t>***** The 2015 new jobs for Principis Capital  were lower than anticipated, resulting in a decreased award.</t>
  </si>
  <si>
    <t>^ The jobs for these two projects are combined with Newark Farmer's Market - Newark Farmer's Market is the landlord, Wakefern is the tenant, and they are co-located.</t>
  </si>
  <si>
    <t>"n/a" is noted in some GROW EOA median salary fields since the calculation is now only applicable bonuses are required</t>
  </si>
  <si>
    <t>Glossary</t>
  </si>
  <si>
    <r>
      <rPr>
        <b/>
        <sz val="11"/>
        <color indexed="8"/>
        <rFont val="Calibri"/>
        <family val="2"/>
      </rPr>
      <t>Legacy Grow NJ</t>
    </r>
    <r>
      <rPr>
        <sz val="11"/>
        <color indexed="8"/>
        <rFont val="Calibri"/>
        <family val="2"/>
      </rPr>
      <t xml:space="preserve"> - Created by statute in 2012, the legacy Grow NJ Program was available to businesses creating or retaining a minimum 100 jobs in New Jersey and making a qualified capital investment of at least $20 million at a qualified business facility.</t>
    </r>
  </si>
  <si>
    <t>EOA Grow NJ - Created by statute in 2013 as part of the New Jersey Economic Opportunity Act of 2013, the Grow NJ Program is currently available to businesses creating or retaining jobs in New Jersey and making a qualified capital investment at a qualified business facility in a qualified incentive area.</t>
  </si>
  <si>
    <t>Legacy Hub - Created by statute in 2007, the intent of the Urban Transit Hub Tax Credit Program was to encourage capital investment and increased employment in targeted urban rail transit hubs to catalyze economic development in the areas.  Qualified commercial projects are required to make or acquire capital investments of at least $50 million and employ not fewer than 250 full-time employees; qualified residential projects must make or acquire capital investments of at least $50 million, but not be required to meet employment requirements.</t>
  </si>
  <si>
    <r>
      <rPr>
        <b/>
        <sz val="11"/>
        <color indexed="8"/>
        <rFont val="Calibri"/>
        <family val="2"/>
      </rPr>
      <t>Legacy ERG</t>
    </r>
    <r>
      <rPr>
        <sz val="11"/>
        <color indexed="8"/>
        <rFont val="Calibri"/>
        <family val="2"/>
      </rPr>
      <t xml:space="preserve"> - Created by law in 2009, the intent of the ERG Program was to provide State incentive grants to developers to capture new State incremental taxes derived from a project’s development to address financing gap.</t>
    </r>
  </si>
  <si>
    <r>
      <rPr>
        <b/>
        <sz val="11"/>
        <color indexed="8"/>
        <rFont val="Calibri"/>
        <family val="2"/>
      </rPr>
      <t>Capital Investment at Issuance</t>
    </r>
    <r>
      <rPr>
        <sz val="11"/>
        <color indexed="8"/>
        <rFont val="Calibri"/>
        <family val="2"/>
      </rPr>
      <t xml:space="preserve"> – The actual amount of reported private capital invested in the project based on certification from an independent CPA.</t>
    </r>
  </si>
  <si>
    <r>
      <rPr>
        <b/>
        <sz val="11"/>
        <color indexed="8"/>
        <rFont val="Calibri"/>
        <family val="2"/>
      </rPr>
      <t>Jobs Reported at Issuance</t>
    </r>
    <r>
      <rPr>
        <sz val="11"/>
        <color indexed="8"/>
        <rFont val="Calibri"/>
        <family val="2"/>
      </rPr>
      <t xml:space="preserve"> – The actual number of reported jobs at the project site (new and/or retained, based on program and project requirements) based on certification from the Chief Financial Officer.</t>
    </r>
  </si>
  <si>
    <t>Certified Credit Amount – For Legacy Grow NJ and EOA Grow NJ, credits are certified for use annually and proportionally based on actual job performance during that year; companies must submit a certification of costs (capital investment) at project completion as certified by an independent CPA.  For Legacy ERG, grants are made annually based on the incremental eligible taxes actually generated as a result of the project. For Legacy Hub (residential projects), credits are initially certified based on actual costs and applicants must demonstrate that projects are conforming to residential use through annual certification. For Legacy Hub (commercial projects), credits are certified for use annually based on meeting job thresholds at the project site and the statewide employment base threshold.  All awardees are subject to forfeiture and recapture in event of default.</t>
  </si>
  <si>
    <t>Updated as of</t>
  </si>
  <si>
    <t>J. &amp; K. Ingredients LLC</t>
  </si>
  <si>
    <t>CP Residential GSGZ, LLC</t>
  </si>
  <si>
    <t>Camden Hotel Partners, LLC</t>
  </si>
  <si>
    <t>Siemens Healthcare Diagnostics</t>
  </si>
  <si>
    <t>Mt. Olive</t>
  </si>
  <si>
    <t>Yoland Corp.</t>
  </si>
  <si>
    <t>Ardagh Glass Inc</t>
  </si>
  <si>
    <t>iCIMS Inc</t>
  </si>
  <si>
    <t>Quest Diagnostics Inc.</t>
  </si>
  <si>
    <t>American Water Works Co.</t>
  </si>
  <si>
    <t>Nuts.com</t>
  </si>
  <si>
    <t>Conopco, Inc.</t>
  </si>
  <si>
    <t>Tryko Holdings LLC</t>
  </si>
  <si>
    <t>Virginia Dare Extract Co., Inc.</t>
  </si>
  <si>
    <t>Cummins Inc.</t>
  </si>
  <si>
    <t>IDT Corp. and Subsidiaries</t>
  </si>
  <si>
    <t xml:space="preserve">Kearny </t>
  </si>
  <si>
    <t>Englewood Cliffs</t>
  </si>
  <si>
    <t>Bridgeton</t>
  </si>
  <si>
    <t>Nutley</t>
  </si>
  <si>
    <t>Brick</t>
  </si>
  <si>
    <t>Hackensack Meridian School of Medicine</t>
  </si>
  <si>
    <t>Express Scripts Pharmacy Inc.</t>
  </si>
  <si>
    <t>Momentum Solar</t>
  </si>
  <si>
    <t>Symrise Inc</t>
  </si>
  <si>
    <t>Teterboro /Branchburg</t>
  </si>
  <si>
    <t>Bergen/Somerset</t>
  </si>
  <si>
    <t>Rahway</t>
  </si>
  <si>
    <t>M&amp;A Holdings Co. LLC</t>
  </si>
  <si>
    <t>Mesorah Publications, Ltd</t>
  </si>
  <si>
    <t>Genmab US, Inc.</t>
  </si>
  <si>
    <t>Ferrero U.S.A., Inc</t>
  </si>
  <si>
    <t>Pepco Manufacturing Co.</t>
  </si>
  <si>
    <t>Somerdale</t>
  </si>
  <si>
    <t>Tabula Rasa HealthCare Group, Inc.</t>
  </si>
  <si>
    <t>30 West Pershing LLC</t>
  </si>
  <si>
    <t>Edison</t>
  </si>
  <si>
    <t>Broadridge Financial Services</t>
  </si>
  <si>
    <t>Hinchliffe Master Urban Renewal, L.P.</t>
  </si>
  <si>
    <t>PROJ-0170802</t>
  </si>
  <si>
    <t>Argus Ellison Associates, LLC</t>
  </si>
  <si>
    <t>Flight Safety International Inc.</t>
  </si>
  <si>
    <t>Moonachie</t>
  </si>
  <si>
    <t>Ralph Lauren Corp.</t>
  </si>
  <si>
    <t>Unique Designs,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</si>
</sst>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Red]&quot;$&quot;#,##0"/>
    <numFmt numFmtId="165" formatCode="&quot;$&quot;#,##0"/>
    <numFmt numFmtId="166" formatCode="#,##0;[Red]#,##0"/>
    <numFmt numFmtId="167" formatCode="0;[Red]0"/>
    <numFmt numFmtId="168" formatCode="_(* #,##0_);_(* \(#,##0\);_(* &quot;-&quot;??_);_(@_)"/>
  </numFmts>
  <fonts count="28" x14ac:knownFonts="1">
    <font>
      <sz val="11"/>
      <color theme="1"/>
      <name val="Calibri"/>
      <family val="2"/>
      <scheme val="minor"/>
    </font>
    <font>
      <sz val="11"/>
      <color indexed="8"/>
      <name val="Calibri"/>
      <family val="2"/>
    </font>
    <font>
      <b/>
      <sz val="11"/>
      <color indexed="8"/>
      <name val="Calibri"/>
      <family val="2"/>
    </font>
    <font>
      <sz val="12"/>
      <name val="Calibri"/>
      <family val="2"/>
    </font>
    <font>
      <sz val="12"/>
      <color indexed="8"/>
      <name val="Calibri"/>
      <family val="2"/>
    </font>
    <font>
      <sz val="11"/>
      <color theme="1"/>
      <name val="Calibri"/>
      <family val="2"/>
      <scheme val="minor"/>
    </font>
    <font>
      <u/>
      <sz val="11"/>
      <color theme="10"/>
      <name val="Calibri"/>
      <family val="2"/>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u/>
      <sz val="12"/>
      <color theme="10"/>
      <name val="Calibri"/>
      <family val="2"/>
      <scheme val="minor"/>
    </font>
    <font>
      <b/>
      <i/>
      <sz val="12"/>
      <name val="Calibri"/>
      <family val="2"/>
      <scheme val="minor"/>
    </font>
    <font>
      <u/>
      <sz val="12"/>
      <color theme="10"/>
      <name val="Calibri"/>
      <family val="2"/>
    </font>
    <font>
      <i/>
      <sz val="12"/>
      <color theme="1"/>
      <name val="Calibri"/>
      <family val="2"/>
      <scheme val="minor"/>
    </font>
    <font>
      <i/>
      <sz val="12"/>
      <name val="Calibri"/>
      <family val="2"/>
      <scheme val="minor"/>
    </font>
    <font>
      <b/>
      <u/>
      <sz val="12"/>
      <color theme="1"/>
      <name val="Calibri"/>
      <family val="2"/>
      <scheme val="minor"/>
    </font>
    <font>
      <sz val="12"/>
      <color theme="0"/>
      <name val="Calibri"/>
      <family val="2"/>
      <scheme val="minor"/>
    </font>
    <font>
      <sz val="10"/>
      <name val="Calibri"/>
      <family val="2"/>
      <scheme val="minor"/>
    </font>
    <font>
      <sz val="8"/>
      <name val="Calibri"/>
      <family val="2"/>
      <scheme val="minor"/>
    </font>
    <font>
      <sz val="12"/>
      <name val="Times New Roman"/>
      <family val="1"/>
    </font>
    <font>
      <b/>
      <sz val="10"/>
      <color theme="1"/>
      <name val="Calibri"/>
      <family val="2"/>
      <scheme val="minor"/>
    </font>
    <font>
      <u/>
      <sz val="8.25"/>
      <color theme="10"/>
      <name val="Calibri"/>
      <family val="2"/>
    </font>
    <font>
      <sz val="10"/>
      <color indexed="8"/>
      <name val="Arial"/>
      <family val="2"/>
    </font>
    <font>
      <sz val="10"/>
      <name val="Arial"/>
      <family val="2"/>
    </font>
    <font>
      <u/>
      <sz val="11"/>
      <color theme="10"/>
      <name val="Calibri"/>
      <family val="2"/>
      <scheme val="minor"/>
    </font>
    <font>
      <b/>
      <sz val="11"/>
      <color theme="1"/>
      <name val="Calibri"/>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2">
    <xf numFmtId="0" fontId="0" fillId="0" borderId="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43" fontId="5" fillId="0" borderId="0" applyFont="0" applyFill="0" applyBorder="0" applyAlignment="0" applyProtection="0"/>
    <xf numFmtId="44" fontId="5" fillId="0" borderId="0" applyFont="0" applyFill="0" applyBorder="0" applyAlignment="0" applyProtection="0"/>
    <xf numFmtId="0" fontId="25" fillId="0" borderId="0" applyNumberFormat="0" applyFill="0" applyBorder="0" applyAlignment="0" applyProtection="0"/>
    <xf numFmtId="0" fontId="23" fillId="0" borderId="0"/>
    <xf numFmtId="0" fontId="24" fillId="0" borderId="0"/>
    <xf numFmtId="0" fontId="5" fillId="0" borderId="0"/>
    <xf numFmtId="9" fontId="5" fillId="0" borderId="0" applyFont="0" applyFill="0" applyBorder="0" applyAlignment="0" applyProtection="0"/>
    <xf numFmtId="0" fontId="24" fillId="0" borderId="0"/>
  </cellStyleXfs>
  <cellXfs count="314">
    <xf numFmtId="0" fontId="0" fillId="0" borderId="0" xfId="0"/>
    <xf numFmtId="0" fontId="7" fillId="0" borderId="0" xfId="0" applyFont="1"/>
    <xf numFmtId="0" fontId="8" fillId="0" borderId="0" xfId="0" applyFont="1"/>
    <xf numFmtId="42" fontId="8" fillId="0" borderId="0" xfId="0" applyNumberFormat="1" applyFont="1" applyAlignment="1">
      <alignment wrapText="1"/>
    </xf>
    <xf numFmtId="1" fontId="8" fillId="0" borderId="0" xfId="0" applyNumberFormat="1" applyFont="1" applyAlignment="1">
      <alignment wrapText="1"/>
    </xf>
    <xf numFmtId="42" fontId="8" fillId="0" borderId="0" xfId="0" applyNumberFormat="1" applyFont="1"/>
    <xf numFmtId="2" fontId="9" fillId="2" borderId="1" xfId="0" applyNumberFormat="1" applyFont="1" applyFill="1" applyBorder="1" applyAlignment="1">
      <alignment wrapText="1"/>
    </xf>
    <xf numFmtId="0" fontId="9" fillId="0" borderId="0" xfId="0" applyFont="1"/>
    <xf numFmtId="0" fontId="10" fillId="0" borderId="0" xfId="0" applyFont="1"/>
    <xf numFmtId="1" fontId="9" fillId="2" borderId="2" xfId="0" applyNumberFormat="1" applyFont="1" applyFill="1" applyBorder="1" applyAlignment="1">
      <alignment wrapText="1"/>
    </xf>
    <xf numFmtId="2" fontId="9" fillId="2" borderId="3" xfId="0" applyNumberFormat="1" applyFont="1" applyFill="1" applyBorder="1" applyAlignment="1">
      <alignment wrapText="1"/>
    </xf>
    <xf numFmtId="0" fontId="11" fillId="0" borderId="2" xfId="2" applyFont="1" applyFill="1" applyBorder="1" applyAlignment="1" applyProtection="1">
      <alignment vertical="top" wrapText="1"/>
    </xf>
    <xf numFmtId="0" fontId="8" fillId="0" borderId="2" xfId="0" applyFont="1" applyBorder="1" applyAlignment="1">
      <alignment vertical="top" wrapText="1"/>
    </xf>
    <xf numFmtId="164" fontId="8" fillId="0" borderId="2" xfId="0" applyNumberFormat="1" applyFont="1" applyBorder="1" applyAlignment="1">
      <alignment vertical="top" wrapText="1"/>
    </xf>
    <xf numFmtId="6" fontId="8" fillId="0" borderId="2" xfId="0" applyNumberFormat="1" applyFont="1" applyBorder="1" applyAlignment="1">
      <alignment vertical="top" wrapText="1"/>
    </xf>
    <xf numFmtId="164" fontId="8" fillId="0" borderId="2" xfId="0" applyNumberFormat="1" applyFont="1" applyBorder="1" applyAlignment="1">
      <alignment vertical="top"/>
    </xf>
    <xf numFmtId="167" fontId="8" fillId="0" borderId="2" xfId="0" applyNumberFormat="1" applyFont="1" applyBorder="1" applyAlignment="1">
      <alignment vertical="top"/>
    </xf>
    <xf numFmtId="167" fontId="8" fillId="0" borderId="2" xfId="0" applyNumberFormat="1" applyFont="1" applyBorder="1" applyAlignment="1">
      <alignment horizontal="right" vertical="top" wrapText="1"/>
    </xf>
    <xf numFmtId="0" fontId="8" fillId="0" borderId="2" xfId="0" applyFont="1" applyBorder="1" applyAlignment="1">
      <alignment vertical="top"/>
    </xf>
    <xf numFmtId="165" fontId="8" fillId="0" borderId="2" xfId="0" applyNumberFormat="1" applyFont="1" applyBorder="1" applyAlignment="1">
      <alignment vertical="top"/>
    </xf>
    <xf numFmtId="0" fontId="7" fillId="0" borderId="0" xfId="0" applyFont="1" applyAlignment="1">
      <alignment vertical="center"/>
    </xf>
    <xf numFmtId="0" fontId="8" fillId="0" borderId="3" xfId="0" applyFont="1" applyBorder="1" applyAlignment="1">
      <alignment vertical="top" wrapText="1"/>
    </xf>
    <xf numFmtId="0" fontId="8" fillId="0" borderId="2" xfId="0" applyFont="1" applyBorder="1" applyAlignment="1">
      <alignment vertical="center"/>
    </xf>
    <xf numFmtId="168" fontId="8" fillId="0" borderId="2" xfId="1" quotePrefix="1" applyNumberFormat="1" applyFont="1" applyFill="1" applyBorder="1" applyAlignment="1">
      <alignment horizontal="right" vertical="top" wrapText="1"/>
    </xf>
    <xf numFmtId="165" fontId="8" fillId="0" borderId="2" xfId="0" applyNumberFormat="1" applyFont="1" applyBorder="1" applyAlignment="1">
      <alignment vertical="center"/>
    </xf>
    <xf numFmtId="0" fontId="7" fillId="0" borderId="2" xfId="0" applyFont="1" applyBorder="1" applyAlignment="1">
      <alignment horizontal="left" wrapText="1"/>
    </xf>
    <xf numFmtId="0" fontId="8" fillId="0" borderId="3" xfId="0" applyFont="1" applyBorder="1" applyAlignment="1">
      <alignment horizontal="left" wrapText="1"/>
    </xf>
    <xf numFmtId="0" fontId="7" fillId="0" borderId="3" xfId="0" applyFont="1" applyBorder="1" applyAlignment="1">
      <alignment horizontal="left" wrapText="1"/>
    </xf>
    <xf numFmtId="0" fontId="10" fillId="0" borderId="0" xfId="0" applyFont="1" applyAlignment="1">
      <alignment vertical="center"/>
    </xf>
    <xf numFmtId="0" fontId="10"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vertical="center"/>
    </xf>
    <xf numFmtId="6" fontId="9" fillId="3" borderId="2" xfId="0" applyNumberFormat="1" applyFont="1" applyFill="1" applyBorder="1" applyAlignment="1">
      <alignment horizontal="right" vertical="center"/>
    </xf>
    <xf numFmtId="0" fontId="9" fillId="3" borderId="2" xfId="0" applyFont="1" applyFill="1" applyBorder="1" applyAlignment="1">
      <alignment horizontal="left" vertical="center" wrapText="1"/>
    </xf>
    <xf numFmtId="38" fontId="9" fillId="3" borderId="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Alignment="1">
      <alignment horizontal="left" vertical="center" wrapText="1"/>
    </xf>
    <xf numFmtId="6" fontId="9" fillId="0" borderId="0" xfId="0" applyNumberFormat="1" applyFont="1" applyAlignment="1">
      <alignment horizontal="right" vertical="center"/>
    </xf>
    <xf numFmtId="3" fontId="9" fillId="0" borderId="0" xfId="0" applyNumberFormat="1" applyFont="1" applyAlignment="1">
      <alignment vertical="center" wrapText="1"/>
    </xf>
    <xf numFmtId="3" fontId="12" fillId="0" borderId="0" xfId="0" applyNumberFormat="1" applyFont="1" applyAlignment="1">
      <alignment vertical="center" wrapText="1"/>
    </xf>
    <xf numFmtId="6" fontId="9" fillId="3" borderId="2" xfId="0" applyNumberFormat="1" applyFont="1" applyFill="1" applyBorder="1" applyAlignment="1">
      <alignment horizontal="right" vertical="center" wrapText="1"/>
    </xf>
    <xf numFmtId="6" fontId="9" fillId="0" borderId="2" xfId="0" applyNumberFormat="1" applyFont="1" applyBorder="1" applyAlignment="1">
      <alignment vertical="center" wrapText="1"/>
    </xf>
    <xf numFmtId="6" fontId="10" fillId="0" borderId="0" xfId="0" applyNumberFormat="1" applyFont="1" applyAlignment="1">
      <alignment horizontal="right" vertical="center"/>
    </xf>
    <xf numFmtId="3" fontId="10" fillId="0" borderId="0" xfId="0" applyNumberFormat="1" applyFont="1" applyAlignment="1">
      <alignment vertical="center" wrapText="1"/>
    </xf>
    <xf numFmtId="1" fontId="9" fillId="2" borderId="1" xfId="0" applyNumberFormat="1" applyFont="1" applyFill="1" applyBorder="1" applyAlignment="1">
      <alignment wrapText="1"/>
    </xf>
    <xf numFmtId="0" fontId="11" fillId="0" borderId="2" xfId="2" applyFont="1" applyFill="1" applyBorder="1" applyAlignment="1" applyProtection="1">
      <alignment horizontal="left" vertical="top" wrapText="1"/>
    </xf>
    <xf numFmtId="0" fontId="8" fillId="0" borderId="2" xfId="0" applyFont="1" applyBorder="1" applyAlignment="1">
      <alignment horizontal="left" vertical="top" wrapText="1"/>
    </xf>
    <xf numFmtId="164" fontId="8" fillId="0" borderId="2" xfId="0" applyNumberFormat="1" applyFont="1" applyBorder="1" applyAlignment="1">
      <alignment horizontal="right" vertical="top" wrapText="1"/>
    </xf>
    <xf numFmtId="0" fontId="8" fillId="0" borderId="2" xfId="0" applyFont="1" applyBorder="1" applyAlignment="1">
      <alignment horizontal="right" vertical="top" wrapText="1"/>
    </xf>
    <xf numFmtId="164" fontId="8" fillId="0" borderId="2" xfId="0" applyNumberFormat="1" applyFont="1" applyBorder="1" applyAlignment="1">
      <alignment horizontal="right" vertical="top"/>
    </xf>
    <xf numFmtId="167" fontId="8" fillId="0" borderId="2" xfId="0" quotePrefix="1" applyNumberFormat="1" applyFont="1" applyBorder="1" applyAlignment="1">
      <alignment horizontal="right" vertical="top" wrapText="1"/>
    </xf>
    <xf numFmtId="1" fontId="8" fillId="0" borderId="2" xfId="0" applyNumberFormat="1" applyFont="1" applyBorder="1" applyAlignment="1">
      <alignment horizontal="right" vertical="top" wrapText="1"/>
    </xf>
    <xf numFmtId="166" fontId="8" fillId="0" borderId="2" xfId="0" quotePrefix="1" applyNumberFormat="1" applyFont="1" applyBorder="1" applyAlignment="1">
      <alignment horizontal="right" vertical="top" wrapText="1"/>
    </xf>
    <xf numFmtId="165" fontId="8" fillId="0" borderId="2" xfId="0" applyNumberFormat="1" applyFont="1" applyBorder="1" applyAlignment="1">
      <alignment horizontal="right" vertical="top" wrapText="1"/>
    </xf>
    <xf numFmtId="6" fontId="8" fillId="0" borderId="2" xfId="0" applyNumberFormat="1" applyFont="1" applyBorder="1" applyAlignment="1">
      <alignment horizontal="right" vertical="top"/>
    </xf>
    <xf numFmtId="43" fontId="8" fillId="0" borderId="2" xfId="1" quotePrefix="1" applyFont="1" applyFill="1" applyBorder="1" applyAlignment="1">
      <alignment horizontal="right" vertical="top" wrapText="1"/>
    </xf>
    <xf numFmtId="0" fontId="8" fillId="0" borderId="0" xfId="0" applyFont="1" applyAlignment="1">
      <alignment vertical="center"/>
    </xf>
    <xf numFmtId="0" fontId="8" fillId="0" borderId="3" xfId="0" applyFont="1" applyBorder="1" applyAlignment="1">
      <alignment horizontal="left" vertical="top" wrapText="1"/>
    </xf>
    <xf numFmtId="0" fontId="13" fillId="0" borderId="2" xfId="2" applyFont="1" applyFill="1" applyBorder="1" applyAlignment="1" applyProtection="1">
      <alignment horizontal="left" vertical="top" wrapText="1"/>
    </xf>
    <xf numFmtId="165" fontId="8" fillId="0" borderId="2" xfId="1" quotePrefix="1" applyNumberFormat="1" applyFont="1" applyFill="1" applyBorder="1" applyAlignment="1">
      <alignment horizontal="right" vertical="top" wrapText="1"/>
    </xf>
    <xf numFmtId="3" fontId="9" fillId="3" borderId="2" xfId="0" applyNumberFormat="1" applyFont="1" applyFill="1" applyBorder="1" applyAlignment="1">
      <alignment vertical="center" wrapText="1"/>
    </xf>
    <xf numFmtId="0" fontId="9" fillId="2" borderId="5" xfId="0" applyFont="1" applyFill="1" applyBorder="1" applyAlignment="1">
      <alignment vertical="center" wrapText="1"/>
    </xf>
    <xf numFmtId="2" fontId="9" fillId="2" borderId="5" xfId="0" applyNumberFormat="1" applyFont="1" applyFill="1" applyBorder="1" applyAlignment="1">
      <alignment vertical="center" wrapText="1"/>
    </xf>
    <xf numFmtId="165" fontId="8" fillId="0" borderId="2" xfId="0" applyNumberFormat="1" applyFont="1" applyBorder="1" applyAlignment="1">
      <alignment horizontal="right" vertical="top"/>
    </xf>
    <xf numFmtId="3" fontId="8" fillId="0" borderId="2" xfId="1" quotePrefix="1" applyNumberFormat="1" applyFont="1" applyFill="1" applyBorder="1" applyAlignment="1">
      <alignment horizontal="right" vertical="top" wrapText="1"/>
    </xf>
    <xf numFmtId="165" fontId="8" fillId="0" borderId="2" xfId="0" quotePrefix="1" applyNumberFormat="1" applyFont="1" applyBorder="1" applyAlignment="1">
      <alignment horizontal="right" vertical="top" wrapText="1"/>
    </xf>
    <xf numFmtId="6" fontId="8" fillId="0" borderId="2" xfId="0" applyNumberFormat="1" applyFont="1" applyBorder="1" applyAlignment="1">
      <alignment horizontal="right" vertical="top" wrapText="1"/>
    </xf>
    <xf numFmtId="0" fontId="9" fillId="3" borderId="6" xfId="0" applyFont="1" applyFill="1" applyBorder="1" applyAlignment="1">
      <alignment horizontal="center"/>
    </xf>
    <xf numFmtId="42" fontId="7" fillId="0" borderId="0" xfId="0" applyNumberFormat="1" applyFont="1"/>
    <xf numFmtId="0" fontId="10" fillId="2" borderId="3" xfId="0" applyFont="1" applyFill="1" applyBorder="1"/>
    <xf numFmtId="0" fontId="9" fillId="2" borderId="3" xfId="0" applyFont="1" applyFill="1" applyBorder="1"/>
    <xf numFmtId="0" fontId="9" fillId="2" borderId="3" xfId="0" applyFont="1" applyFill="1" applyBorder="1" applyAlignment="1">
      <alignment wrapText="1"/>
    </xf>
    <xf numFmtId="0" fontId="8" fillId="0" borderId="2" xfId="0" applyFont="1" applyBorder="1" applyAlignment="1">
      <alignment horizontal="left" vertical="center" wrapText="1"/>
    </xf>
    <xf numFmtId="164" fontId="8" fillId="0" borderId="2" xfId="0" quotePrefix="1" applyNumberFormat="1" applyFont="1" applyBorder="1" applyAlignment="1">
      <alignment horizontal="right" vertical="top" wrapText="1"/>
    </xf>
    <xf numFmtId="1" fontId="8" fillId="0" borderId="2" xfId="0" quotePrefix="1" applyNumberFormat="1" applyFont="1" applyBorder="1" applyAlignment="1">
      <alignment horizontal="right" vertical="top" wrapText="1"/>
    </xf>
    <xf numFmtId="0" fontId="9" fillId="3" borderId="2" xfId="0" applyFont="1" applyFill="1" applyBorder="1" applyAlignment="1">
      <alignment vertical="center"/>
    </xf>
    <xf numFmtId="164" fontId="9" fillId="3" borderId="2" xfId="0" applyNumberFormat="1" applyFont="1" applyFill="1" applyBorder="1" applyAlignment="1">
      <alignment horizontal="right" vertical="center" wrapText="1"/>
    </xf>
    <xf numFmtId="0" fontId="9" fillId="3" borderId="2" xfId="0" applyFont="1" applyFill="1" applyBorder="1" applyAlignment="1">
      <alignment horizontal="right" vertical="center" wrapText="1"/>
    </xf>
    <xf numFmtId="164" fontId="9" fillId="0" borderId="0" xfId="0" applyNumberFormat="1" applyFont="1" applyAlignment="1">
      <alignment horizontal="left" vertical="center" wrapText="1"/>
    </xf>
    <xf numFmtId="164" fontId="9" fillId="0" borderId="0" xfId="0" applyNumberFormat="1" applyFont="1" applyAlignment="1">
      <alignment horizontal="right" wrapText="1"/>
    </xf>
    <xf numFmtId="164" fontId="9" fillId="0" borderId="0" xfId="0" applyNumberFormat="1" applyFont="1" applyAlignment="1">
      <alignment horizontal="right" vertical="center" wrapText="1"/>
    </xf>
    <xf numFmtId="6" fontId="10" fillId="0" borderId="2" xfId="0" applyNumberFormat="1" applyFont="1" applyBorder="1" applyAlignment="1">
      <alignment vertical="center" wrapText="1"/>
    </xf>
    <xf numFmtId="6" fontId="9" fillId="0" borderId="0" xfId="0" applyNumberFormat="1" applyFont="1" applyAlignment="1">
      <alignment horizontal="right" vertical="center" wrapText="1"/>
    </xf>
    <xf numFmtId="6" fontId="10" fillId="0" borderId="0" xfId="0" applyNumberFormat="1" applyFont="1" applyAlignment="1">
      <alignment vertical="center" wrapText="1"/>
    </xf>
    <xf numFmtId="0" fontId="10" fillId="2" borderId="1" xfId="0" applyFont="1" applyFill="1" applyBorder="1"/>
    <xf numFmtId="0" fontId="9" fillId="2" borderId="1" xfId="0" applyFont="1" applyFill="1" applyBorder="1"/>
    <xf numFmtId="0" fontId="9" fillId="2" borderId="1" xfId="0" applyFont="1" applyFill="1" applyBorder="1" applyAlignment="1">
      <alignment wrapText="1"/>
    </xf>
    <xf numFmtId="2" fontId="9" fillId="2" borderId="7" xfId="0" applyNumberFormat="1" applyFont="1" applyFill="1" applyBorder="1" applyAlignment="1">
      <alignment wrapText="1"/>
    </xf>
    <xf numFmtId="164" fontId="8" fillId="0" borderId="8" xfId="0" applyNumberFormat="1" applyFont="1" applyBorder="1" applyAlignment="1">
      <alignment horizontal="right" wrapText="1"/>
    </xf>
    <xf numFmtId="6" fontId="8" fillId="0" borderId="2" xfId="0" applyNumberFormat="1" applyFont="1" applyBorder="1"/>
    <xf numFmtId="6" fontId="8" fillId="0" borderId="2" xfId="0" applyNumberFormat="1" applyFont="1" applyBorder="1" applyAlignment="1">
      <alignment vertical="top"/>
    </xf>
    <xf numFmtId="5" fontId="8" fillId="0" borderId="2" xfId="0" quotePrefix="1" applyNumberFormat="1" applyFont="1" applyBorder="1" applyAlignment="1">
      <alignment horizontal="right" vertical="top" wrapText="1"/>
    </xf>
    <xf numFmtId="0" fontId="8" fillId="3" borderId="2" xfId="0" applyFont="1" applyFill="1" applyBorder="1" applyAlignment="1">
      <alignment horizontal="left" vertical="center" wrapText="1"/>
    </xf>
    <xf numFmtId="43" fontId="8" fillId="0" borderId="2" xfId="1" quotePrefix="1" applyFont="1" applyFill="1" applyBorder="1" applyAlignment="1">
      <alignment horizontal="center" vertical="center" wrapText="1"/>
    </xf>
    <xf numFmtId="164" fontId="8" fillId="0" borderId="8" xfId="0" applyNumberFormat="1" applyFont="1" applyBorder="1" applyAlignment="1">
      <alignment horizontal="right" vertical="top" wrapText="1"/>
    </xf>
    <xf numFmtId="0" fontId="10" fillId="3" borderId="2" xfId="0" applyFont="1" applyFill="1" applyBorder="1"/>
    <xf numFmtId="0" fontId="9" fillId="3" borderId="2" xfId="0" applyFont="1" applyFill="1" applyBorder="1"/>
    <xf numFmtId="6" fontId="9" fillId="3" borderId="2" xfId="0" applyNumberFormat="1" applyFont="1" applyFill="1" applyBorder="1" applyAlignment="1">
      <alignment wrapText="1"/>
    </xf>
    <xf numFmtId="6" fontId="9" fillId="0" borderId="0" xfId="0" applyNumberFormat="1" applyFont="1" applyAlignment="1">
      <alignment wrapText="1"/>
    </xf>
    <xf numFmtId="164" fontId="9" fillId="0" borderId="0" xfId="0" applyNumberFormat="1" applyFont="1" applyAlignment="1">
      <alignment horizontal="right"/>
    </xf>
    <xf numFmtId="0" fontId="9" fillId="3" borderId="2" xfId="0" applyFont="1" applyFill="1" applyBorder="1" applyAlignment="1">
      <alignment wrapText="1"/>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42" fontId="9" fillId="3" borderId="2" xfId="0" applyNumberFormat="1" applyFont="1" applyFill="1" applyBorder="1" applyAlignment="1">
      <alignment horizontal="center" vertical="center" wrapText="1"/>
    </xf>
    <xf numFmtId="6" fontId="8" fillId="0" borderId="0" xfId="0" applyNumberFormat="1" applyFont="1"/>
    <xf numFmtId="0" fontId="7" fillId="0" borderId="2" xfId="0" applyFont="1" applyBorder="1" applyAlignment="1">
      <alignment horizontal="right" vertical="center"/>
    </xf>
    <xf numFmtId="1" fontId="8" fillId="0" borderId="2" xfId="0" applyNumberFormat="1" applyFont="1" applyBorder="1" applyAlignment="1">
      <alignment horizontal="right" wrapText="1"/>
    </xf>
    <xf numFmtId="0" fontId="8" fillId="0" borderId="9" xfId="0" applyFont="1" applyBorder="1"/>
    <xf numFmtId="164" fontId="8" fillId="0" borderId="2" xfId="0" applyNumberFormat="1" applyFont="1" applyBorder="1"/>
    <xf numFmtId="165" fontId="8" fillId="0" borderId="2" xfId="0" applyNumberFormat="1" applyFont="1" applyBorder="1"/>
    <xf numFmtId="3" fontId="8" fillId="0" borderId="2" xfId="0" applyNumberFormat="1" applyFont="1" applyBorder="1" applyAlignment="1">
      <alignment horizontal="right" wrapText="1"/>
    </xf>
    <xf numFmtId="0" fontId="8" fillId="0" borderId="2" xfId="0" applyFont="1" applyBorder="1"/>
    <xf numFmtId="3" fontId="8" fillId="0" borderId="2" xfId="0" quotePrefix="1" applyNumberFormat="1" applyFont="1" applyBorder="1" applyAlignment="1">
      <alignment horizontal="right"/>
    </xf>
    <xf numFmtId="3" fontId="8" fillId="0" borderId="2" xfId="0" applyNumberFormat="1" applyFont="1" applyBorder="1" applyAlignment="1">
      <alignment horizontal="right"/>
    </xf>
    <xf numFmtId="0" fontId="14" fillId="0" borderId="0" xfId="0" applyFont="1"/>
    <xf numFmtId="0" fontId="8" fillId="0" borderId="0" xfId="0" applyFont="1" applyAlignment="1">
      <alignment horizontal="left"/>
    </xf>
    <xf numFmtId="0" fontId="9" fillId="0" borderId="0" xfId="0" applyFont="1" applyAlignment="1">
      <alignment horizontal="left" vertical="top" wrapText="1"/>
    </xf>
    <xf numFmtId="0" fontId="8" fillId="0" borderId="0" xfId="0" applyFont="1" applyAlignment="1">
      <alignment wrapText="1"/>
    </xf>
    <xf numFmtId="0" fontId="8" fillId="0" borderId="0" xfId="0" applyFont="1" applyAlignment="1">
      <alignment horizontal="left" wrapText="1"/>
    </xf>
    <xf numFmtId="0" fontId="16" fillId="0" borderId="0" xfId="0" applyFont="1" applyAlignment="1">
      <alignment wrapText="1"/>
    </xf>
    <xf numFmtId="0" fontId="7" fillId="0" borderId="0" xfId="0" applyFont="1" applyAlignment="1">
      <alignment wrapText="1"/>
    </xf>
    <xf numFmtId="0" fontId="7" fillId="0" borderId="0" xfId="0" applyFont="1" applyAlignment="1">
      <alignment horizontal="left"/>
    </xf>
    <xf numFmtId="0" fontId="3" fillId="0" borderId="0" xfId="0" applyFont="1" applyAlignment="1">
      <alignment horizontal="left" wrapText="1"/>
    </xf>
    <xf numFmtId="1" fontId="9" fillId="2" borderId="7" xfId="0" applyNumberFormat="1" applyFont="1" applyFill="1" applyBorder="1" applyAlignment="1">
      <alignment wrapText="1"/>
    </xf>
    <xf numFmtId="0" fontId="13" fillId="0" borderId="7" xfId="2" applyFont="1" applyFill="1" applyBorder="1" applyAlignment="1" applyProtection="1">
      <alignment horizontal="left" vertical="top" wrapText="1"/>
    </xf>
    <xf numFmtId="0" fontId="13" fillId="0" borderId="2" xfId="2" applyFont="1" applyFill="1" applyBorder="1" applyAlignment="1" applyProtection="1">
      <alignment wrapText="1"/>
    </xf>
    <xf numFmtId="0" fontId="13" fillId="0" borderId="2" xfId="2" applyFont="1" applyBorder="1" applyAlignment="1" applyProtection="1">
      <alignment wrapText="1"/>
    </xf>
    <xf numFmtId="0" fontId="11" fillId="0" borderId="2" xfId="2" applyFont="1" applyFill="1" applyBorder="1" applyAlignment="1" applyProtection="1">
      <alignment horizontal="left" wrapText="1"/>
    </xf>
    <xf numFmtId="0" fontId="13" fillId="0" borderId="2" xfId="2" applyFont="1" applyBorder="1" applyAlignment="1" applyProtection="1">
      <alignment horizontal="left"/>
    </xf>
    <xf numFmtId="0" fontId="13" fillId="0" borderId="3" xfId="2" applyFont="1" applyFill="1" applyBorder="1" applyAlignment="1" applyProtection="1">
      <alignment horizontal="left" wrapText="1"/>
    </xf>
    <xf numFmtId="0" fontId="13" fillId="0" borderId="2" xfId="2" applyFont="1" applyFill="1" applyBorder="1" applyAlignment="1" applyProtection="1">
      <alignment horizontal="left" wrapText="1"/>
    </xf>
    <xf numFmtId="2" fontId="9" fillId="2" borderId="7" xfId="0" applyNumberFormat="1" applyFont="1" applyFill="1" applyBorder="1" applyAlignment="1">
      <alignment horizontal="center" wrapText="1"/>
    </xf>
    <xf numFmtId="0" fontId="9" fillId="0" borderId="0" xfId="0" applyFont="1" applyAlignment="1">
      <alignment wrapText="1"/>
    </xf>
    <xf numFmtId="0" fontId="9" fillId="2" borderId="3" xfId="0" applyFont="1" applyFill="1" applyBorder="1" applyAlignment="1">
      <alignment horizontal="center" wrapText="1"/>
    </xf>
    <xf numFmtId="2" fontId="9" fillId="2" borderId="3" xfId="0" applyNumberFormat="1" applyFont="1" applyFill="1" applyBorder="1" applyAlignment="1">
      <alignment horizontal="center" wrapText="1"/>
    </xf>
    <xf numFmtId="0" fontId="6" fillId="0" borderId="2" xfId="2" applyFill="1" applyBorder="1" applyAlignment="1" applyProtection="1">
      <alignment horizontal="left" vertical="top" wrapText="1"/>
    </xf>
    <xf numFmtId="0" fontId="6" fillId="0" borderId="2" xfId="2" applyBorder="1" applyAlignment="1" applyProtection="1">
      <alignment horizontal="left" vertical="top"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2" fontId="9" fillId="2" borderId="1" xfId="0" applyNumberFormat="1" applyFont="1" applyFill="1" applyBorder="1" applyAlignment="1">
      <alignment vertical="center" wrapText="1"/>
    </xf>
    <xf numFmtId="2" fontId="9" fillId="2" borderId="2" xfId="0" applyNumberFormat="1" applyFont="1" applyFill="1" applyBorder="1" applyAlignment="1">
      <alignment vertical="center" wrapText="1"/>
    </xf>
    <xf numFmtId="1" fontId="9" fillId="2" borderId="2" xfId="0" applyNumberFormat="1" applyFont="1" applyFill="1" applyBorder="1" applyAlignment="1">
      <alignment vertical="center" wrapText="1"/>
    </xf>
    <xf numFmtId="3" fontId="8" fillId="0" borderId="2" xfId="0" applyNumberFormat="1" applyFont="1" applyBorder="1" applyAlignment="1">
      <alignment horizontal="right" vertical="top"/>
    </xf>
    <xf numFmtId="3" fontId="8" fillId="0" borderId="2" xfId="0" quotePrefix="1" applyNumberFormat="1" applyFont="1" applyBorder="1" applyAlignment="1">
      <alignment horizontal="right" vertical="top" wrapText="1"/>
    </xf>
    <xf numFmtId="3" fontId="8" fillId="0" borderId="2" xfId="0" applyNumberFormat="1" applyFont="1" applyBorder="1" applyAlignment="1">
      <alignment horizontal="right" vertical="top" wrapText="1"/>
    </xf>
    <xf numFmtId="0" fontId="7" fillId="0" borderId="2" xfId="0" applyFont="1" applyBorder="1" applyAlignment="1">
      <alignment horizontal="left" vertical="top" wrapText="1"/>
    </xf>
    <xf numFmtId="164" fontId="7" fillId="0" borderId="2" xfId="0" applyNumberFormat="1" applyFont="1" applyBorder="1" applyAlignment="1">
      <alignment horizontal="right" vertical="top" wrapText="1"/>
    </xf>
    <xf numFmtId="0" fontId="7" fillId="0" borderId="2" xfId="0" applyFont="1" applyBorder="1" applyAlignment="1">
      <alignment horizontal="right" vertical="top" wrapText="1"/>
    </xf>
    <xf numFmtId="164" fontId="7" fillId="0" borderId="8" xfId="0" applyNumberFormat="1" applyFont="1" applyBorder="1" applyAlignment="1">
      <alignment horizontal="right" vertical="top" wrapText="1"/>
    </xf>
    <xf numFmtId="168" fontId="7" fillId="0" borderId="2" xfId="1" quotePrefix="1" applyNumberFormat="1" applyFont="1" applyFill="1" applyBorder="1" applyAlignment="1">
      <alignment horizontal="right" vertical="top" wrapText="1"/>
    </xf>
    <xf numFmtId="6" fontId="7" fillId="0" borderId="2" xfId="0" applyNumberFormat="1" applyFont="1" applyBorder="1" applyAlignment="1">
      <alignment vertical="top"/>
    </xf>
    <xf numFmtId="6" fontId="10" fillId="0" borderId="0" xfId="0" applyNumberFormat="1" applyFont="1" applyAlignment="1">
      <alignment vertical="center"/>
    </xf>
    <xf numFmtId="6" fontId="7" fillId="0" borderId="0" xfId="0" applyNumberFormat="1" applyFont="1"/>
    <xf numFmtId="0" fontId="13" fillId="0" borderId="2" xfId="2" applyFont="1" applyFill="1" applyBorder="1" applyAlignment="1" applyProtection="1">
      <alignment vertical="top"/>
    </xf>
    <xf numFmtId="0" fontId="9" fillId="2" borderId="3" xfId="0" applyFont="1" applyFill="1" applyBorder="1" applyAlignment="1">
      <alignment horizontal="center"/>
    </xf>
    <xf numFmtId="2" fontId="9" fillId="2" borderId="1" xfId="0" applyNumberFormat="1" applyFont="1" applyFill="1" applyBorder="1" applyAlignment="1">
      <alignment horizontal="center" wrapText="1"/>
    </xf>
    <xf numFmtId="1" fontId="9" fillId="2" borderId="4" xfId="0" applyNumberFormat="1" applyFont="1" applyFill="1" applyBorder="1" applyAlignment="1">
      <alignment horizontal="center" wrapText="1"/>
    </xf>
    <xf numFmtId="0" fontId="9" fillId="2" borderId="1" xfId="0" applyFont="1" applyFill="1" applyBorder="1" applyAlignment="1">
      <alignment horizontal="center" wrapText="1"/>
    </xf>
    <xf numFmtId="164" fontId="8" fillId="0" borderId="0" xfId="0" applyNumberFormat="1" applyFont="1"/>
    <xf numFmtId="6" fontId="19" fillId="0" borderId="0" xfId="0" applyNumberFormat="1" applyFont="1"/>
    <xf numFmtId="38" fontId="18" fillId="0" borderId="0" xfId="0" applyNumberFormat="1" applyFont="1"/>
    <xf numFmtId="1" fontId="8" fillId="0" borderId="2" xfId="0" applyNumberFormat="1" applyFont="1" applyBorder="1" applyAlignment="1">
      <alignment horizontal="right" vertical="top"/>
    </xf>
    <xf numFmtId="165" fontId="8" fillId="0" borderId="0" xfId="0" applyNumberFormat="1" applyFont="1" applyAlignment="1">
      <alignment wrapText="1"/>
    </xf>
    <xf numFmtId="0" fontId="10" fillId="0" borderId="0" xfId="0" applyFont="1" applyAlignment="1">
      <alignment horizontal="left"/>
    </xf>
    <xf numFmtId="0" fontId="8" fillId="0" borderId="9" xfId="0" applyFont="1" applyBorder="1" applyAlignment="1">
      <alignment horizontal="right" vertical="center"/>
    </xf>
    <xf numFmtId="14" fontId="10" fillId="0" borderId="0" xfId="0" applyNumberFormat="1" applyFont="1" applyAlignment="1">
      <alignment horizontal="left"/>
    </xf>
    <xf numFmtId="6" fontId="21" fillId="0" borderId="0" xfId="0" applyNumberFormat="1" applyFont="1"/>
    <xf numFmtId="6" fontId="21" fillId="0" borderId="0" xfId="0" applyNumberFormat="1" applyFont="1" applyAlignment="1">
      <alignment vertical="center"/>
    </xf>
    <xf numFmtId="6" fontId="18" fillId="0" borderId="0" xfId="0" applyNumberFormat="1" applyFont="1"/>
    <xf numFmtId="3" fontId="8" fillId="0" borderId="0" xfId="0" applyNumberFormat="1" applyFont="1"/>
    <xf numFmtId="0" fontId="10" fillId="0" borderId="2" xfId="0" applyFont="1" applyBorder="1" applyAlignment="1">
      <alignment horizontal="right"/>
    </xf>
    <xf numFmtId="0" fontId="9" fillId="0" borderId="2" xfId="0" applyFont="1" applyBorder="1"/>
    <xf numFmtId="165" fontId="9" fillId="0" borderId="2" xfId="0" applyNumberFormat="1" applyFont="1" applyBorder="1"/>
    <xf numFmtId="3" fontId="9" fillId="0" borderId="2" xfId="0" applyNumberFormat="1" applyFont="1" applyBorder="1"/>
    <xf numFmtId="3" fontId="9" fillId="0" borderId="2" xfId="0" applyNumberFormat="1" applyFont="1" applyBorder="1" applyAlignment="1">
      <alignment horizontal="right"/>
    </xf>
    <xf numFmtId="42" fontId="9" fillId="0" borderId="0" xfId="0" applyNumberFormat="1" applyFont="1" applyAlignment="1">
      <alignment wrapText="1"/>
    </xf>
    <xf numFmtId="0" fontId="15" fillId="0" borderId="0" xfId="0" applyFont="1"/>
    <xf numFmtId="164" fontId="20" fillId="0" borderId="0" xfId="0" applyNumberFormat="1" applyFont="1"/>
    <xf numFmtId="3" fontId="20" fillId="0" borderId="0" xfId="0" applyNumberFormat="1" applyFont="1"/>
    <xf numFmtId="3" fontId="20" fillId="0" borderId="0" xfId="0" applyNumberFormat="1" applyFont="1" applyAlignment="1">
      <alignment wrapText="1"/>
    </xf>
    <xf numFmtId="42" fontId="15" fillId="0" borderId="0" xfId="0" applyNumberFormat="1" applyFont="1"/>
    <xf numFmtId="165" fontId="8" fillId="0" borderId="0" xfId="0" applyNumberFormat="1" applyFont="1"/>
    <xf numFmtId="0" fontId="9" fillId="2" borderId="3" xfId="0" applyFont="1" applyFill="1" applyBorder="1" applyAlignment="1">
      <alignment horizontal="right"/>
    </xf>
    <xf numFmtId="0" fontId="9" fillId="2" borderId="3" xfId="0" applyFont="1" applyFill="1" applyBorder="1" applyAlignment="1">
      <alignment horizontal="right" wrapText="1"/>
    </xf>
    <xf numFmtId="2" fontId="9" fillId="2" borderId="3" xfId="0" applyNumberFormat="1" applyFont="1" applyFill="1" applyBorder="1" applyAlignment="1">
      <alignment horizontal="left" wrapText="1"/>
    </xf>
    <xf numFmtId="164" fontId="8" fillId="0" borderId="0" xfId="0" applyNumberFormat="1" applyFont="1" applyAlignment="1">
      <alignment vertical="center"/>
    </xf>
    <xf numFmtId="168" fontId="8" fillId="0" borderId="2" xfId="1" quotePrefix="1" applyNumberFormat="1" applyFont="1" applyFill="1" applyBorder="1" applyAlignment="1">
      <alignment horizontal="center" vertical="center" wrapText="1"/>
    </xf>
    <xf numFmtId="6" fontId="10" fillId="0" borderId="2" xfId="0" applyNumberFormat="1" applyFont="1" applyBorder="1" applyAlignment="1">
      <alignment horizontal="right" vertical="center"/>
    </xf>
    <xf numFmtId="43" fontId="8" fillId="0" borderId="2" xfId="1" quotePrefix="1" applyFont="1" applyFill="1" applyBorder="1" applyAlignment="1">
      <alignment horizontal="center" vertical="top" wrapText="1"/>
    </xf>
    <xf numFmtId="6" fontId="8" fillId="0" borderId="8" xfId="0" applyNumberFormat="1" applyFont="1" applyBorder="1" applyAlignment="1">
      <alignment horizontal="right" vertical="top"/>
    </xf>
    <xf numFmtId="6" fontId="7" fillId="0" borderId="2" xfId="0" applyNumberFormat="1" applyFont="1" applyBorder="1" applyAlignment="1">
      <alignment horizontal="right" vertical="top" wrapText="1"/>
    </xf>
    <xf numFmtId="164" fontId="8" fillId="0" borderId="8" xfId="0" applyNumberFormat="1" applyFont="1" applyBorder="1"/>
    <xf numFmtId="164" fontId="8" fillId="0" borderId="9" xfId="0" applyNumberFormat="1" applyFont="1" applyBorder="1"/>
    <xf numFmtId="6" fontId="8" fillId="0" borderId="8" xfId="0" applyNumberFormat="1" applyFont="1" applyBorder="1" applyAlignment="1">
      <alignment horizontal="right" vertical="top" wrapText="1"/>
    </xf>
    <xf numFmtId="0" fontId="7" fillId="0" borderId="2" xfId="0" applyFont="1" applyBorder="1" applyAlignment="1">
      <alignment vertical="top" wrapText="1"/>
    </xf>
    <xf numFmtId="0" fontId="6" fillId="0" borderId="7" xfId="2" applyBorder="1" applyAlignment="1" applyProtection="1">
      <alignment vertical="top"/>
    </xf>
    <xf numFmtId="0" fontId="13" fillId="0" borderId="7" xfId="3" applyFont="1" applyBorder="1" applyAlignment="1" applyProtection="1">
      <alignment horizontal="left" vertical="top" wrapText="1"/>
    </xf>
    <xf numFmtId="0" fontId="6" fillId="0" borderId="2" xfId="2" applyFill="1" applyBorder="1" applyAlignment="1" applyProtection="1">
      <alignment horizontal="left" wrapText="1"/>
    </xf>
    <xf numFmtId="0" fontId="13" fillId="0" borderId="2" xfId="3" applyFont="1" applyBorder="1" applyAlignment="1" applyProtection="1">
      <alignment horizontal="left" vertical="top" wrapText="1"/>
    </xf>
    <xf numFmtId="0" fontId="13" fillId="0" borderId="7" xfId="3" applyFont="1" applyFill="1" applyBorder="1" applyAlignment="1" applyProtection="1">
      <alignment horizontal="left" vertical="top" wrapText="1"/>
    </xf>
    <xf numFmtId="0" fontId="13" fillId="0" borderId="2" xfId="2" applyFont="1" applyBorder="1" applyAlignment="1" applyProtection="1">
      <alignment horizontal="left" vertical="top" wrapText="1"/>
    </xf>
    <xf numFmtId="0" fontId="13" fillId="0" borderId="2" xfId="2" applyFont="1" applyBorder="1" applyAlignment="1" applyProtection="1">
      <alignment vertical="top" wrapText="1"/>
    </xf>
    <xf numFmtId="0" fontId="3" fillId="0" borderId="2" xfId="2" applyFont="1" applyFill="1" applyBorder="1" applyAlignment="1" applyProtection="1">
      <alignment horizontal="left" vertical="top" wrapText="1"/>
    </xf>
    <xf numFmtId="165" fontId="10" fillId="0" borderId="0" xfId="0" applyNumberFormat="1" applyFont="1" applyAlignment="1">
      <alignment vertical="center"/>
    </xf>
    <xf numFmtId="6" fontId="9" fillId="0" borderId="2" xfId="0" applyNumberFormat="1" applyFont="1" applyBorder="1"/>
    <xf numFmtId="164" fontId="7" fillId="0" borderId="0" xfId="0" applyNumberFormat="1" applyFont="1"/>
    <xf numFmtId="1" fontId="9" fillId="2" borderId="3" xfId="0" applyNumberFormat="1" applyFont="1" applyFill="1" applyBorder="1" applyAlignment="1">
      <alignment wrapText="1"/>
    </xf>
    <xf numFmtId="0" fontId="7" fillId="0" borderId="2" xfId="0" applyFont="1" applyBorder="1" applyAlignment="1">
      <alignment horizontal="left" vertical="center" wrapText="1"/>
    </xf>
    <xf numFmtId="0" fontId="13" fillId="0" borderId="2" xfId="3" applyFont="1" applyFill="1" applyBorder="1" applyAlignment="1" applyProtection="1">
      <alignment horizontal="left" vertical="top" wrapText="1"/>
    </xf>
    <xf numFmtId="0" fontId="10"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7" fillId="0" borderId="0" xfId="0" applyFont="1" applyAlignment="1">
      <alignment horizontal="left" wrapText="1"/>
    </xf>
    <xf numFmtId="0" fontId="10" fillId="0" borderId="0" xfId="0" applyFont="1" applyAlignment="1">
      <alignment horizontal="left" wrapText="1"/>
    </xf>
    <xf numFmtId="0" fontId="10" fillId="0" borderId="0" xfId="0" applyFont="1" applyAlignment="1">
      <alignment horizontal="left" vertical="top" wrapText="1"/>
    </xf>
    <xf numFmtId="1" fontId="9" fillId="3" borderId="2" xfId="0" applyNumberFormat="1" applyFont="1" applyFill="1" applyBorder="1" applyAlignment="1">
      <alignment horizontal="center" vertical="center" wrapText="1"/>
    </xf>
    <xf numFmtId="0" fontId="10" fillId="0" borderId="0" xfId="0" applyFont="1" applyAlignment="1">
      <alignment horizontal="left" vertical="center" wrapText="1"/>
    </xf>
    <xf numFmtId="0" fontId="26" fillId="0" borderId="0" xfId="0" applyFont="1" applyAlignment="1">
      <alignment horizontal="left"/>
    </xf>
    <xf numFmtId="0" fontId="9" fillId="3" borderId="19" xfId="0" applyFont="1" applyFill="1" applyBorder="1" applyAlignment="1">
      <alignment horizontal="center"/>
    </xf>
    <xf numFmtId="165" fontId="10" fillId="0" borderId="0" xfId="0" applyNumberFormat="1" applyFont="1"/>
    <xf numFmtId="164" fontId="8" fillId="0" borderId="2" xfId="0" quotePrefix="1" applyNumberFormat="1" applyFont="1" applyFill="1" applyBorder="1" applyAlignment="1">
      <alignment horizontal="right" vertical="top" wrapText="1"/>
    </xf>
    <xf numFmtId="167" fontId="8" fillId="0" borderId="2" xfId="0" quotePrefix="1" applyNumberFormat="1" applyFont="1" applyFill="1" applyBorder="1" applyAlignment="1">
      <alignment horizontal="right" vertical="top" wrapText="1"/>
    </xf>
    <xf numFmtId="165" fontId="8" fillId="0" borderId="2" xfId="0" applyNumberFormat="1" applyFont="1" applyFill="1" applyBorder="1" applyAlignment="1">
      <alignment horizontal="right" vertical="top"/>
    </xf>
    <xf numFmtId="5" fontId="8" fillId="0" borderId="2" xfId="0" quotePrefix="1" applyNumberFormat="1" applyFont="1" applyFill="1" applyBorder="1" applyAlignment="1">
      <alignment horizontal="right" vertical="top" wrapText="1"/>
    </xf>
    <xf numFmtId="0" fontId="8" fillId="0" borderId="0" xfId="0" applyFont="1" applyFill="1" applyAlignment="1">
      <alignment vertical="center"/>
    </xf>
    <xf numFmtId="0" fontId="8" fillId="0" borderId="0" xfId="0" applyFont="1" applyFill="1" applyAlignment="1">
      <alignment horizontal="left" vertical="center"/>
    </xf>
    <xf numFmtId="0" fontId="8" fillId="0" borderId="3" xfId="0" applyFont="1" applyFill="1" applyBorder="1" applyAlignment="1">
      <alignment horizontal="left" vertical="top" wrapText="1"/>
    </xf>
    <xf numFmtId="164" fontId="8" fillId="0" borderId="2" xfId="0" applyNumberFormat="1" applyFont="1" applyFill="1" applyBorder="1" applyAlignment="1">
      <alignment vertical="top" wrapText="1"/>
    </xf>
    <xf numFmtId="0" fontId="8" fillId="0" borderId="2" xfId="0" applyFont="1" applyFill="1" applyBorder="1" applyAlignment="1">
      <alignment vertical="top" wrapText="1"/>
    </xf>
    <xf numFmtId="6" fontId="8" fillId="0" borderId="2" xfId="0" applyNumberFormat="1" applyFont="1" applyFill="1" applyBorder="1" applyAlignment="1">
      <alignment vertical="top" wrapText="1"/>
    </xf>
    <xf numFmtId="164" fontId="8" fillId="0" borderId="2" xfId="0" applyNumberFormat="1" applyFont="1" applyFill="1" applyBorder="1" applyAlignment="1">
      <alignment vertical="top"/>
    </xf>
    <xf numFmtId="167" fontId="8" fillId="0" borderId="2" xfId="0" applyNumberFormat="1" applyFont="1" applyFill="1" applyBorder="1" applyAlignment="1">
      <alignment vertical="top"/>
    </xf>
    <xf numFmtId="167" fontId="8" fillId="0" borderId="2" xfId="0" applyNumberFormat="1" applyFont="1" applyFill="1" applyBorder="1" applyAlignment="1">
      <alignment horizontal="right" vertical="top" wrapText="1"/>
    </xf>
    <xf numFmtId="0" fontId="7" fillId="0" borderId="2" xfId="0" applyFont="1" applyFill="1" applyBorder="1" applyAlignment="1">
      <alignment horizontal="left" vertical="center" wrapText="1"/>
    </xf>
    <xf numFmtId="6" fontId="27" fillId="0" borderId="0" xfId="0" applyNumberFormat="1" applyFont="1" applyAlignment="1">
      <alignment vertical="top"/>
    </xf>
    <xf numFmtId="168" fontId="27" fillId="0" borderId="0" xfId="1" applyNumberFormat="1" applyFont="1" applyFill="1" applyAlignment="1">
      <alignment vertical="top"/>
    </xf>
    <xf numFmtId="0" fontId="27" fillId="0" borderId="0" xfId="0" applyFont="1" applyAlignment="1">
      <alignment vertical="top"/>
    </xf>
    <xf numFmtId="3" fontId="8" fillId="0" borderId="2" xfId="0" quotePrefix="1" applyNumberFormat="1" applyFont="1" applyFill="1" applyBorder="1" applyAlignment="1">
      <alignment horizontal="right" vertical="top" wrapText="1"/>
    </xf>
    <xf numFmtId="6" fontId="8" fillId="0" borderId="2" xfId="0" applyNumberFormat="1" applyFont="1" applyFill="1" applyBorder="1" applyAlignment="1">
      <alignment horizontal="right" vertical="top" wrapText="1"/>
    </xf>
    <xf numFmtId="0" fontId="8" fillId="0" borderId="2" xfId="0" applyFont="1" applyFill="1" applyBorder="1" applyAlignment="1">
      <alignment vertical="top"/>
    </xf>
    <xf numFmtId="0" fontId="8" fillId="0" borderId="2" xfId="0" applyFont="1" applyFill="1" applyBorder="1" applyAlignment="1">
      <alignment vertical="center"/>
    </xf>
    <xf numFmtId="165" fontId="8" fillId="0" borderId="2" xfId="0" applyNumberFormat="1" applyFont="1" applyFill="1" applyBorder="1" applyAlignment="1">
      <alignment horizontal="right" vertical="top" wrapText="1"/>
    </xf>
    <xf numFmtId="165" fontId="8" fillId="0" borderId="2" xfId="0" applyNumberFormat="1" applyFont="1" applyFill="1" applyBorder="1"/>
    <xf numFmtId="165" fontId="8" fillId="0" borderId="2" xfId="0" applyNumberFormat="1" applyFont="1" applyFill="1" applyBorder="1" applyAlignment="1">
      <alignment vertical="center"/>
    </xf>
    <xf numFmtId="3" fontId="8" fillId="0" borderId="2" xfId="0" applyNumberFormat="1" applyFont="1" applyFill="1" applyBorder="1" applyAlignment="1">
      <alignment horizontal="right" vertical="top" wrapText="1"/>
    </xf>
    <xf numFmtId="6" fontId="8" fillId="0" borderId="8" xfId="0" applyNumberFormat="1" applyFont="1" applyFill="1" applyBorder="1" applyAlignment="1">
      <alignment vertical="top" wrapText="1"/>
    </xf>
    <xf numFmtId="38" fontId="8" fillId="0" borderId="2" xfId="0" applyNumberFormat="1" applyFont="1" applyFill="1" applyBorder="1" applyAlignment="1">
      <alignment horizontal="right" vertical="center"/>
    </xf>
    <xf numFmtId="6" fontId="8" fillId="0" borderId="2" xfId="0" applyNumberFormat="1" applyFont="1" applyFill="1" applyBorder="1" applyAlignment="1">
      <alignment vertical="top"/>
    </xf>
    <xf numFmtId="164" fontId="8" fillId="0" borderId="2" xfId="0" applyNumberFormat="1" applyFont="1" applyFill="1" applyBorder="1" applyAlignment="1">
      <alignment horizontal="right" vertical="top" wrapText="1"/>
    </xf>
    <xf numFmtId="6" fontId="7" fillId="0" borderId="0" xfId="0" applyNumberFormat="1" applyFont="1" applyAlignment="1">
      <alignment vertical="top"/>
    </xf>
    <xf numFmtId="6" fontId="7" fillId="0" borderId="0" xfId="0" applyNumberFormat="1" applyFont="1" applyAlignment="1">
      <alignment vertical="center"/>
    </xf>
    <xf numFmtId="164" fontId="8" fillId="0" borderId="2" xfId="0" applyNumberFormat="1" applyFont="1" applyFill="1" applyBorder="1" applyAlignment="1">
      <alignment horizontal="right" vertical="top"/>
    </xf>
    <xf numFmtId="165" fontId="7" fillId="0" borderId="0" xfId="0" applyNumberFormat="1" applyFont="1" applyAlignment="1">
      <alignment vertical="center"/>
    </xf>
    <xf numFmtId="168" fontId="8" fillId="0" borderId="9" xfId="1" quotePrefix="1" applyNumberFormat="1" applyFont="1" applyFill="1" applyBorder="1" applyAlignment="1">
      <alignment horizontal="center" vertical="center" wrapText="1"/>
    </xf>
    <xf numFmtId="168" fontId="8" fillId="0" borderId="2" xfId="1" applyNumberFormat="1" applyFont="1" applyFill="1" applyBorder="1" applyAlignment="1">
      <alignment horizontal="right" vertical="top" wrapText="1"/>
    </xf>
    <xf numFmtId="3" fontId="8" fillId="0" borderId="2" xfId="1" applyNumberFormat="1" applyFont="1" applyFill="1" applyBorder="1" applyAlignment="1">
      <alignment horizontal="right" vertical="top" wrapText="1"/>
    </xf>
    <xf numFmtId="0" fontId="7" fillId="0" borderId="0" xfId="0" applyFont="1" applyFill="1" applyAlignment="1">
      <alignment horizontal="left"/>
    </xf>
    <xf numFmtId="0" fontId="7"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left"/>
    </xf>
    <xf numFmtId="0" fontId="7" fillId="0" borderId="0" xfId="0" applyFont="1" applyFill="1" applyAlignment="1">
      <alignment horizontal="left" wrapText="1"/>
    </xf>
    <xf numFmtId="0" fontId="8" fillId="0" borderId="0" xfId="0" applyFont="1" applyFill="1" applyAlignment="1">
      <alignment horizontal="left" vertical="top"/>
    </xf>
    <xf numFmtId="0" fontId="7" fillId="0" borderId="0" xfId="0" applyFont="1" applyFill="1" applyAlignment="1">
      <alignment horizontal="left" vertical="top" wrapText="1"/>
    </xf>
    <xf numFmtId="0" fontId="14" fillId="0" borderId="0" xfId="0" applyFont="1" applyFill="1" applyAlignment="1">
      <alignment horizontal="left"/>
    </xf>
    <xf numFmtId="0" fontId="8" fillId="0" borderId="0" xfId="0" applyFont="1" applyFill="1" applyAlignment="1">
      <alignment horizontal="left"/>
    </xf>
    <xf numFmtId="0" fontId="17" fillId="0" borderId="0" xfId="0" applyFont="1" applyFill="1" applyAlignment="1">
      <alignment horizontal="left"/>
    </xf>
    <xf numFmtId="2" fontId="9" fillId="2" borderId="5" xfId="0" applyNumberFormat="1" applyFont="1" applyFill="1" applyBorder="1" applyAlignment="1">
      <alignment horizontal="center" wrapText="1"/>
    </xf>
    <xf numFmtId="168" fontId="26" fillId="0" borderId="0" xfId="0" applyNumberFormat="1" applyFont="1" applyAlignment="1">
      <alignment horizontal="left"/>
    </xf>
    <xf numFmtId="6" fontId="7" fillId="0" borderId="0" xfId="0" applyNumberFormat="1" applyFont="1" applyFill="1" applyAlignment="1">
      <alignment vertical="center"/>
    </xf>
    <xf numFmtId="6" fontId="10" fillId="0" borderId="0" xfId="0" applyNumberFormat="1" applyFont="1"/>
    <xf numFmtId="6" fontId="7" fillId="0" borderId="0" xfId="0" applyNumberFormat="1" applyFont="1" applyFill="1" applyAlignment="1">
      <alignment vertical="top"/>
    </xf>
    <xf numFmtId="0" fontId="8" fillId="0" borderId="2" xfId="0" applyFont="1" applyFill="1" applyBorder="1" applyAlignment="1">
      <alignment horizontal="right" vertical="top" wrapText="1"/>
    </xf>
    <xf numFmtId="1" fontId="9" fillId="2" borderId="15" xfId="0" applyNumberFormat="1" applyFont="1" applyFill="1" applyBorder="1" applyAlignment="1">
      <alignment horizontal="center" vertical="center" wrapText="1"/>
    </xf>
    <xf numFmtId="1" fontId="9" fillId="2" borderId="4" xfId="0" applyNumberFormat="1" applyFont="1" applyFill="1" applyBorder="1" applyAlignment="1">
      <alignment horizontal="center" vertical="center" wrapText="1"/>
    </xf>
    <xf numFmtId="0" fontId="9" fillId="3" borderId="12" xfId="0" applyFont="1" applyFill="1" applyBorder="1" applyAlignment="1">
      <alignment horizontal="center"/>
    </xf>
    <xf numFmtId="0" fontId="9" fillId="3" borderId="13" xfId="0" applyFont="1" applyFill="1" applyBorder="1" applyAlignment="1">
      <alignment horizontal="center"/>
    </xf>
    <xf numFmtId="0" fontId="9" fillId="3" borderId="14" xfId="0" applyFont="1" applyFill="1" applyBorder="1" applyAlignment="1">
      <alignment horizontal="center"/>
    </xf>
    <xf numFmtId="1" fontId="9" fillId="2" borderId="16" xfId="0" applyNumberFormat="1" applyFont="1" applyFill="1" applyBorder="1" applyAlignment="1">
      <alignment horizontal="center" vertical="center" wrapText="1"/>
    </xf>
    <xf numFmtId="1" fontId="9" fillId="2" borderId="17" xfId="0" applyNumberFormat="1" applyFont="1" applyFill="1" applyBorder="1" applyAlignment="1">
      <alignment horizontal="center" vertical="center" wrapText="1"/>
    </xf>
    <xf numFmtId="1" fontId="9" fillId="2" borderId="10" xfId="0" applyNumberFormat="1" applyFont="1" applyFill="1" applyBorder="1" applyAlignment="1">
      <alignment horizontal="center" vertical="center" wrapText="1"/>
    </xf>
    <xf numFmtId="1" fontId="9" fillId="2" borderId="11" xfId="0" applyNumberFormat="1" applyFont="1" applyFill="1" applyBorder="1" applyAlignment="1">
      <alignment horizontal="center" vertical="center" wrapText="1"/>
    </xf>
    <xf numFmtId="0" fontId="7" fillId="3" borderId="12" xfId="0" applyFont="1" applyFill="1" applyBorder="1" applyAlignment="1">
      <alignment horizontal="center"/>
    </xf>
    <xf numFmtId="0" fontId="7" fillId="3" borderId="13" xfId="0" applyFont="1" applyFill="1" applyBorder="1" applyAlignment="1">
      <alignment horizontal="center"/>
    </xf>
    <xf numFmtId="0" fontId="7" fillId="3" borderId="14" xfId="0" applyFont="1" applyFill="1" applyBorder="1" applyAlignment="1">
      <alignment horizontal="center"/>
    </xf>
    <xf numFmtId="0" fontId="10" fillId="3" borderId="12" xfId="0" applyFont="1" applyFill="1" applyBorder="1" applyAlignment="1">
      <alignment horizontal="center"/>
    </xf>
    <xf numFmtId="0" fontId="10" fillId="3" borderId="13" xfId="0" applyFont="1" applyFill="1" applyBorder="1" applyAlignment="1">
      <alignment horizontal="center"/>
    </xf>
    <xf numFmtId="0" fontId="10" fillId="3" borderId="14" xfId="0" applyFont="1" applyFill="1" applyBorder="1" applyAlignment="1">
      <alignment horizontal="center"/>
    </xf>
    <xf numFmtId="0" fontId="4" fillId="0" borderId="0" xfId="0" applyFont="1" applyAlignment="1">
      <alignment horizontal="left" wrapText="1"/>
    </xf>
    <xf numFmtId="0" fontId="0" fillId="0" borderId="0" xfId="0" applyAlignment="1">
      <alignment horizontal="left" wrapText="1"/>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0" borderId="0" xfId="0" applyFont="1" applyAlignment="1">
      <alignment horizontal="left" wrapText="1"/>
    </xf>
    <xf numFmtId="0" fontId="10" fillId="0" borderId="0" xfId="0" applyFont="1" applyAlignment="1">
      <alignment horizontal="left" wrapText="1"/>
    </xf>
    <xf numFmtId="42" fontId="9" fillId="3" borderId="8" xfId="0" applyNumberFormat="1" applyFont="1" applyFill="1" applyBorder="1" applyAlignment="1">
      <alignment horizontal="center" vertical="center" wrapText="1"/>
    </xf>
    <xf numFmtId="42" fontId="9" fillId="3" borderId="9" xfId="0" applyNumberFormat="1" applyFont="1" applyFill="1" applyBorder="1" applyAlignment="1">
      <alignment horizontal="center" vertical="center" wrapText="1"/>
    </xf>
    <xf numFmtId="165" fontId="9" fillId="0" borderId="8" xfId="0" applyNumberFormat="1" applyFont="1" applyBorder="1" applyAlignment="1">
      <alignment horizontal="center"/>
    </xf>
    <xf numFmtId="165" fontId="9" fillId="0" borderId="9" xfId="0" applyNumberFormat="1" applyFont="1" applyBorder="1" applyAlignment="1">
      <alignment horizontal="center"/>
    </xf>
    <xf numFmtId="0" fontId="9" fillId="3" borderId="2" xfId="0" applyFont="1" applyFill="1" applyBorder="1" applyAlignment="1">
      <alignment horizontal="center" vertical="center"/>
    </xf>
    <xf numFmtId="0" fontId="10" fillId="0" borderId="0" xfId="0" applyFont="1" applyAlignment="1">
      <alignment wrapText="1"/>
    </xf>
    <xf numFmtId="0" fontId="0" fillId="0" borderId="0" xfId="0" applyAlignment="1">
      <alignment wrapText="1"/>
    </xf>
    <xf numFmtId="0" fontId="10" fillId="0" borderId="0" xfId="0" applyFont="1" applyAlignment="1">
      <alignment horizontal="left" vertical="top" wrapText="1"/>
    </xf>
    <xf numFmtId="0" fontId="9" fillId="3" borderId="2" xfId="0"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xf>
    <xf numFmtId="0" fontId="10" fillId="0" borderId="0" xfId="0" applyFont="1" applyAlignment="1">
      <alignment horizontal="left" vertical="center" wrapText="1"/>
    </xf>
    <xf numFmtId="0" fontId="10" fillId="3" borderId="8" xfId="0" applyFont="1" applyFill="1" applyBorder="1" applyAlignment="1">
      <alignment horizontal="center"/>
    </xf>
    <xf numFmtId="0" fontId="10" fillId="3" borderId="18" xfId="0" applyFont="1" applyFill="1" applyBorder="1" applyAlignment="1">
      <alignment horizontal="center"/>
    </xf>
    <xf numFmtId="0" fontId="10" fillId="3" borderId="9" xfId="0" applyFont="1" applyFill="1" applyBorder="1" applyAlignment="1">
      <alignment horizontal="center"/>
    </xf>
    <xf numFmtId="2" fontId="9" fillId="2" borderId="5" xfId="0" applyNumberFormat="1" applyFont="1" applyFill="1" applyBorder="1" applyAlignment="1">
      <alignment horizontal="center" vertical="center" wrapText="1"/>
    </xf>
    <xf numFmtId="2" fontId="9" fillId="2" borderId="3" xfId="0" applyNumberFormat="1"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cellXfs>
  <cellStyles count="12">
    <cellStyle name="Comma" xfId="1" builtinId="3"/>
    <cellStyle name="Comma 2" xfId="4" xr:uid="{E30B1915-25F0-43E8-9769-9363A720367F}"/>
    <cellStyle name="Currency 2" xfId="5" xr:uid="{F8E53921-E0C7-4743-AA58-EC9B9517842B}"/>
    <cellStyle name="Hyperlink" xfId="2" builtinId="8"/>
    <cellStyle name="Hyperlink 2" xfId="6" xr:uid="{15BA6905-A463-4043-A650-9335B0FD507F}"/>
    <cellStyle name="Hyperlink 3" xfId="3" xr:uid="{D40E8F13-5827-4159-B109-3346CFD4C849}"/>
    <cellStyle name="Normal" xfId="0" builtinId="0"/>
    <cellStyle name="Normal 2" xfId="7" xr:uid="{3B24A782-F65F-42E1-8101-2D88A28B790D}"/>
    <cellStyle name="Normal 2 2" xfId="8" xr:uid="{25F88808-609F-4C00-8321-A4125E2ADCF2}"/>
    <cellStyle name="Normal 3" xfId="9" xr:uid="{FF82B641-D909-41C1-BD32-D3DBB2AC9523}"/>
    <cellStyle name="Normal 4" xfId="11" xr:uid="{C12A8187-126A-4F4D-94C5-1EE7984218A5}"/>
    <cellStyle name="Percent 2" xfId="10" xr:uid="{D1C5D70F-C77F-4A1F-8AA5-70638BE7B8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spruceblob01.blob.core.windows.net/stwpnjeda/pdfs/mods/LI2000.pdf" TargetMode="External"/><Relationship Id="rId3" Type="http://schemas.openxmlformats.org/officeDocument/2006/relationships/hyperlink" Target="https://spruceblob01.blob.core.windows.net/stwpnjeda/pdfs/agendas/10142014Agenda.pdf" TargetMode="External"/><Relationship Id="rId7" Type="http://schemas.openxmlformats.org/officeDocument/2006/relationships/hyperlink" Target="https://spruceblob01.blob.core.windows.net/stwpnjeda/pdfs/agendas/12092014Agenda.pdf" TargetMode="External"/><Relationship Id="rId2" Type="http://schemas.openxmlformats.org/officeDocument/2006/relationships/hyperlink" Target="https://spruceblob01.blob.core.windows.net/stwpnjeda/pdfs/agendas/7102014agenda.pdf" TargetMode="External"/><Relationship Id="rId1" Type="http://schemas.openxmlformats.org/officeDocument/2006/relationships/hyperlink" Target="https://spruceblob01.blob.core.windows.net/stwpnjeda/pdfs/agendas/5162014agenda.pdf" TargetMode="External"/><Relationship Id="rId6" Type="http://schemas.openxmlformats.org/officeDocument/2006/relationships/hyperlink" Target="https://spruceblob01.blob.core.windows.net/stwpnjeda/pdfs/agendas/09112014Agenda.pdf" TargetMode="External"/><Relationship Id="rId5" Type="http://schemas.openxmlformats.org/officeDocument/2006/relationships/hyperlink" Target="https://spruceblob01.blob.core.windows.net/stwpnjeda/pdfs/agendas/05152015_Agenda.pdf" TargetMode="External"/><Relationship Id="rId4" Type="http://schemas.openxmlformats.org/officeDocument/2006/relationships/hyperlink" Target="https://spruceblob01.blob.core.windows.net/stwpnjeda/pdfs/agendas/02262015Agenda.pdf" TargetMode="External"/></Relationships>
</file>

<file path=xl/drawings/drawing1.xml><?xml version="1.0" encoding="utf-8"?>
<xdr:wsDr xmlns:xdr="http://schemas.openxmlformats.org/drawingml/2006/spreadsheetDrawing" xmlns:a="http://schemas.openxmlformats.org/drawingml/2006/main">
  <xdr:twoCellAnchor>
    <xdr:from>
      <xdr:col>2</xdr:col>
      <xdr:colOff>0</xdr:colOff>
      <xdr:row>32</xdr:row>
      <xdr:rowOff>0</xdr:rowOff>
    </xdr:from>
    <xdr:to>
      <xdr:col>3</xdr:col>
      <xdr:colOff>0</xdr:colOff>
      <xdr:row>33</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8AA39C10-D2D7-431F-9116-BE11BEF78CC8}"/>
            </a:ext>
          </a:extLst>
        </xdr:cNvPr>
        <xdr:cNvSpPr txBox="1"/>
      </xdr:nvSpPr>
      <xdr:spPr>
        <a:xfrm>
          <a:off x="0" y="34928175"/>
          <a:ext cx="2019300"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0A21H</a:t>
          </a:r>
        </a:p>
      </xdr:txBody>
    </xdr:sp>
    <xdr:clientData/>
  </xdr:twoCellAnchor>
  <xdr:twoCellAnchor>
    <xdr:from>
      <xdr:col>2</xdr:col>
      <xdr:colOff>0</xdr:colOff>
      <xdr:row>34</xdr:row>
      <xdr:rowOff>0</xdr:rowOff>
    </xdr:from>
    <xdr:to>
      <xdr:col>3</xdr:col>
      <xdr:colOff>0</xdr:colOff>
      <xdr:row>35</xdr:row>
      <xdr:rowOff>0</xdr:rowOff>
    </xdr:to>
    <xdr:sp macro="" textlink="">
      <xdr:nvSpPr>
        <xdr:cNvPr id="3" name="TextBox 2">
          <a:hlinkClick xmlns:r="http://schemas.openxmlformats.org/officeDocument/2006/relationships" r:id="rId2"/>
          <a:extLst>
            <a:ext uri="{FF2B5EF4-FFF2-40B4-BE49-F238E27FC236}">
              <a16:creationId xmlns:a16="http://schemas.microsoft.com/office/drawing/2014/main" id="{795F2A1F-0853-4A65-AB01-474B9EBA89F1}"/>
            </a:ext>
          </a:extLst>
        </xdr:cNvPr>
        <xdr:cNvSpPr txBox="1"/>
      </xdr:nvSpPr>
      <xdr:spPr>
        <a:xfrm>
          <a:off x="0" y="50082450"/>
          <a:ext cx="20193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0A36H</a:t>
          </a:r>
        </a:p>
      </xdr:txBody>
    </xdr:sp>
    <xdr:clientData/>
  </xdr:twoCellAnchor>
  <xdr:twoCellAnchor>
    <xdr:from>
      <xdr:col>2</xdr:col>
      <xdr:colOff>0</xdr:colOff>
      <xdr:row>35</xdr:row>
      <xdr:rowOff>0</xdr:rowOff>
    </xdr:from>
    <xdr:to>
      <xdr:col>3</xdr:col>
      <xdr:colOff>0</xdr:colOff>
      <xdr:row>36</xdr:row>
      <xdr:rowOff>0</xdr:rowOff>
    </xdr:to>
    <xdr:sp macro="" textlink="">
      <xdr:nvSpPr>
        <xdr:cNvPr id="4" name="TextBox 3">
          <a:hlinkClick xmlns:r="http://schemas.openxmlformats.org/officeDocument/2006/relationships" r:id="rId3"/>
          <a:extLst>
            <a:ext uri="{FF2B5EF4-FFF2-40B4-BE49-F238E27FC236}">
              <a16:creationId xmlns:a16="http://schemas.microsoft.com/office/drawing/2014/main" id="{6ADE02F7-25FC-448A-83EB-9AD23442CF52}"/>
            </a:ext>
          </a:extLst>
        </xdr:cNvPr>
        <xdr:cNvSpPr txBox="1"/>
      </xdr:nvSpPr>
      <xdr:spPr>
        <a:xfrm>
          <a:off x="0" y="67208400"/>
          <a:ext cx="2019300" cy="142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0A48H</a:t>
          </a:r>
        </a:p>
      </xdr:txBody>
    </xdr:sp>
    <xdr:clientData/>
  </xdr:twoCellAnchor>
  <xdr:twoCellAnchor>
    <xdr:from>
      <xdr:col>2</xdr:col>
      <xdr:colOff>0</xdr:colOff>
      <xdr:row>39</xdr:row>
      <xdr:rowOff>0</xdr:rowOff>
    </xdr:from>
    <xdr:to>
      <xdr:col>3</xdr:col>
      <xdr:colOff>0</xdr:colOff>
      <xdr:row>40</xdr:row>
      <xdr:rowOff>0</xdr:rowOff>
    </xdr:to>
    <xdr:sp macro="" textlink="">
      <xdr:nvSpPr>
        <xdr:cNvPr id="5" name="TextBox 4">
          <a:hlinkClick xmlns:r="http://schemas.openxmlformats.org/officeDocument/2006/relationships" r:id="rId1"/>
          <a:extLst>
            <a:ext uri="{FF2B5EF4-FFF2-40B4-BE49-F238E27FC236}">
              <a16:creationId xmlns:a16="http://schemas.microsoft.com/office/drawing/2014/main" id="{8B8E2F22-E61E-4891-82BD-87C9011095BA}"/>
            </a:ext>
          </a:extLst>
        </xdr:cNvPr>
        <xdr:cNvSpPr txBox="1"/>
      </xdr:nvSpPr>
      <xdr:spPr>
        <a:xfrm>
          <a:off x="0" y="40928925"/>
          <a:ext cx="2019300"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0A25H</a:t>
          </a:r>
        </a:p>
      </xdr:txBody>
    </xdr:sp>
    <xdr:clientData/>
  </xdr:twoCellAnchor>
  <xdr:twoCellAnchor>
    <xdr:from>
      <xdr:col>2</xdr:col>
      <xdr:colOff>0</xdr:colOff>
      <xdr:row>30</xdr:row>
      <xdr:rowOff>0</xdr:rowOff>
    </xdr:from>
    <xdr:to>
      <xdr:col>3</xdr:col>
      <xdr:colOff>0</xdr:colOff>
      <xdr:row>31</xdr:row>
      <xdr:rowOff>0</xdr:rowOff>
    </xdr:to>
    <xdr:sp macro="" textlink="">
      <xdr:nvSpPr>
        <xdr:cNvPr id="6" name="TextBox 5">
          <a:hlinkClick xmlns:r="http://schemas.openxmlformats.org/officeDocument/2006/relationships" r:id="rId4"/>
          <a:extLst>
            <a:ext uri="{FF2B5EF4-FFF2-40B4-BE49-F238E27FC236}">
              <a16:creationId xmlns:a16="http://schemas.microsoft.com/office/drawing/2014/main" id="{B9EF5D29-605D-4A5B-93C3-BBFF11CE777B}"/>
            </a:ext>
          </a:extLst>
        </xdr:cNvPr>
        <xdr:cNvSpPr txBox="1"/>
      </xdr:nvSpPr>
      <xdr:spPr>
        <a:xfrm>
          <a:off x="0" y="112166400"/>
          <a:ext cx="2019300"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0A74H</a:t>
          </a:r>
        </a:p>
      </xdr:txBody>
    </xdr:sp>
    <xdr:clientData/>
  </xdr:twoCellAnchor>
  <xdr:twoCellAnchor>
    <xdr:from>
      <xdr:col>2</xdr:col>
      <xdr:colOff>0</xdr:colOff>
      <xdr:row>36</xdr:row>
      <xdr:rowOff>0</xdr:rowOff>
    </xdr:from>
    <xdr:to>
      <xdr:col>3</xdr:col>
      <xdr:colOff>0</xdr:colOff>
      <xdr:row>37</xdr:row>
      <xdr:rowOff>0</xdr:rowOff>
    </xdr:to>
    <xdr:sp macro="" textlink="">
      <xdr:nvSpPr>
        <xdr:cNvPr id="7" name="TextBox 6">
          <a:hlinkClick xmlns:r="http://schemas.openxmlformats.org/officeDocument/2006/relationships" r:id="rId3"/>
          <a:extLst>
            <a:ext uri="{FF2B5EF4-FFF2-40B4-BE49-F238E27FC236}">
              <a16:creationId xmlns:a16="http://schemas.microsoft.com/office/drawing/2014/main" id="{ED2B6580-669A-4790-8FCB-7B6D5C2B8B7A}"/>
            </a:ext>
          </a:extLst>
        </xdr:cNvPr>
        <xdr:cNvSpPr txBox="1"/>
      </xdr:nvSpPr>
      <xdr:spPr>
        <a:xfrm>
          <a:off x="0" y="75771375"/>
          <a:ext cx="2019300" cy="3162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0A52H</a:t>
          </a:r>
        </a:p>
      </xdr:txBody>
    </xdr:sp>
    <xdr:clientData/>
  </xdr:twoCellAnchor>
  <xdr:twoCellAnchor>
    <xdr:from>
      <xdr:col>2</xdr:col>
      <xdr:colOff>0</xdr:colOff>
      <xdr:row>40</xdr:row>
      <xdr:rowOff>0</xdr:rowOff>
    </xdr:from>
    <xdr:to>
      <xdr:col>3</xdr:col>
      <xdr:colOff>0</xdr:colOff>
      <xdr:row>41</xdr:row>
      <xdr:rowOff>0</xdr:rowOff>
    </xdr:to>
    <xdr:sp macro="" textlink="">
      <xdr:nvSpPr>
        <xdr:cNvPr id="8" name="TextBox 7">
          <a:hlinkClick xmlns:r="http://schemas.openxmlformats.org/officeDocument/2006/relationships" r:id="rId5"/>
          <a:extLst>
            <a:ext uri="{FF2B5EF4-FFF2-40B4-BE49-F238E27FC236}">
              <a16:creationId xmlns:a16="http://schemas.microsoft.com/office/drawing/2014/main" id="{99078BFF-2375-4F28-B5C4-515997481C94}"/>
            </a:ext>
          </a:extLst>
        </xdr:cNvPr>
        <xdr:cNvSpPr txBox="1"/>
      </xdr:nvSpPr>
      <xdr:spPr>
        <a:xfrm>
          <a:off x="0" y="118452900"/>
          <a:ext cx="2019300" cy="2466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0A87H</a:t>
          </a:r>
        </a:p>
      </xdr:txBody>
    </xdr:sp>
    <xdr:clientData/>
  </xdr:twoCellAnchor>
  <xdr:twoCellAnchor>
    <xdr:from>
      <xdr:col>2</xdr:col>
      <xdr:colOff>0</xdr:colOff>
      <xdr:row>41</xdr:row>
      <xdr:rowOff>0</xdr:rowOff>
    </xdr:from>
    <xdr:to>
      <xdr:col>3</xdr:col>
      <xdr:colOff>0</xdr:colOff>
      <xdr:row>42</xdr:row>
      <xdr:rowOff>0</xdr:rowOff>
    </xdr:to>
    <xdr:sp macro="" textlink="">
      <xdr:nvSpPr>
        <xdr:cNvPr id="9" name="TextBox 8">
          <a:hlinkClick xmlns:r="http://schemas.openxmlformats.org/officeDocument/2006/relationships" r:id="rId1"/>
          <a:extLst>
            <a:ext uri="{FF2B5EF4-FFF2-40B4-BE49-F238E27FC236}">
              <a16:creationId xmlns:a16="http://schemas.microsoft.com/office/drawing/2014/main" id="{0EA95CD0-CB6C-48F3-8B5D-A86766E888C1}"/>
            </a:ext>
          </a:extLst>
        </xdr:cNvPr>
        <xdr:cNvSpPr txBox="1"/>
      </xdr:nvSpPr>
      <xdr:spPr>
        <a:xfrm>
          <a:off x="0" y="36271200"/>
          <a:ext cx="2019300" cy="1800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0A24H</a:t>
          </a:r>
        </a:p>
      </xdr:txBody>
    </xdr:sp>
    <xdr:clientData/>
  </xdr:twoCellAnchor>
  <xdr:twoCellAnchor>
    <xdr:from>
      <xdr:col>2</xdr:col>
      <xdr:colOff>0</xdr:colOff>
      <xdr:row>43</xdr:row>
      <xdr:rowOff>0</xdr:rowOff>
    </xdr:from>
    <xdr:to>
      <xdr:col>3</xdr:col>
      <xdr:colOff>0</xdr:colOff>
      <xdr:row>44</xdr:row>
      <xdr:rowOff>0</xdr:rowOff>
    </xdr:to>
    <xdr:sp macro="" textlink="">
      <xdr:nvSpPr>
        <xdr:cNvPr id="11" name="TextBox 10">
          <a:hlinkClick xmlns:r="http://schemas.openxmlformats.org/officeDocument/2006/relationships" r:id="rId6"/>
          <a:extLst>
            <a:ext uri="{FF2B5EF4-FFF2-40B4-BE49-F238E27FC236}">
              <a16:creationId xmlns:a16="http://schemas.microsoft.com/office/drawing/2014/main" id="{CFF13F51-6B8F-4231-8D0C-1C79E779FF04}"/>
            </a:ext>
          </a:extLst>
        </xdr:cNvPr>
        <xdr:cNvSpPr txBox="1"/>
      </xdr:nvSpPr>
      <xdr:spPr>
        <a:xfrm>
          <a:off x="0" y="55816500"/>
          <a:ext cx="20193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0A44H</a:t>
          </a:r>
        </a:p>
      </xdr:txBody>
    </xdr:sp>
    <xdr:clientData/>
  </xdr:twoCellAnchor>
  <xdr:twoCellAnchor>
    <xdr:from>
      <xdr:col>2</xdr:col>
      <xdr:colOff>0</xdr:colOff>
      <xdr:row>44</xdr:row>
      <xdr:rowOff>0</xdr:rowOff>
    </xdr:from>
    <xdr:to>
      <xdr:col>3</xdr:col>
      <xdr:colOff>0</xdr:colOff>
      <xdr:row>45</xdr:row>
      <xdr:rowOff>0</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500E721C-0146-4A5C-93A0-B6F8A25D2788}"/>
            </a:ext>
          </a:extLst>
        </xdr:cNvPr>
        <xdr:cNvSpPr txBox="1"/>
      </xdr:nvSpPr>
      <xdr:spPr>
        <a:xfrm>
          <a:off x="0" y="79400400"/>
          <a:ext cx="20193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0A55H</a:t>
          </a:r>
        </a:p>
      </xdr:txBody>
    </xdr:sp>
    <xdr:clientData/>
  </xdr:twoCellAnchor>
  <xdr:twoCellAnchor>
    <xdr:from>
      <xdr:col>2</xdr:col>
      <xdr:colOff>0</xdr:colOff>
      <xdr:row>45</xdr:row>
      <xdr:rowOff>0</xdr:rowOff>
    </xdr:from>
    <xdr:to>
      <xdr:col>3</xdr:col>
      <xdr:colOff>0</xdr:colOff>
      <xdr:row>46</xdr:row>
      <xdr:rowOff>0</xdr:rowOff>
    </xdr:to>
    <xdr:sp macro="" textlink="">
      <xdr:nvSpPr>
        <xdr:cNvPr id="13" name="TextBox 12">
          <a:hlinkClick xmlns:r="http://schemas.openxmlformats.org/officeDocument/2006/relationships" r:id="rId1"/>
          <a:extLst>
            <a:ext uri="{FF2B5EF4-FFF2-40B4-BE49-F238E27FC236}">
              <a16:creationId xmlns:a16="http://schemas.microsoft.com/office/drawing/2014/main" id="{F8965DE2-F2AC-4A00-AF2E-A26F2A917C01}"/>
            </a:ext>
          </a:extLst>
        </xdr:cNvPr>
        <xdr:cNvSpPr txBox="1"/>
      </xdr:nvSpPr>
      <xdr:spPr>
        <a:xfrm>
          <a:off x="0" y="32718375"/>
          <a:ext cx="2019300"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0A22H</a:t>
          </a:r>
        </a:p>
      </xdr:txBody>
    </xdr:sp>
    <xdr:clientData/>
  </xdr:twoCellAnchor>
  <xdr:twoCellAnchor>
    <xdr:from>
      <xdr:col>2</xdr:col>
      <xdr:colOff>0</xdr:colOff>
      <xdr:row>47</xdr:row>
      <xdr:rowOff>0</xdr:rowOff>
    </xdr:from>
    <xdr:to>
      <xdr:col>3</xdr:col>
      <xdr:colOff>0</xdr:colOff>
      <xdr:row>48</xdr:row>
      <xdr:rowOff>0</xdr:rowOff>
    </xdr:to>
    <xdr:sp macro="" textlink="">
      <xdr:nvSpPr>
        <xdr:cNvPr id="14" name="TextBox 13">
          <a:extLst>
            <a:ext uri="{FF2B5EF4-FFF2-40B4-BE49-F238E27FC236}">
              <a16:creationId xmlns:a16="http://schemas.microsoft.com/office/drawing/2014/main" id="{C1D9D506-6611-480B-8636-850BA2D09726}"/>
            </a:ext>
          </a:extLst>
        </xdr:cNvPr>
        <xdr:cNvSpPr txBox="1"/>
      </xdr:nvSpPr>
      <xdr:spPr>
        <a:xfrm>
          <a:off x="0" y="13354050"/>
          <a:ext cx="2019300" cy="2447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0A8H</a:t>
          </a:r>
        </a:p>
      </xdr:txBody>
    </xdr:sp>
    <xdr:clientData/>
  </xdr:twoCellAnchor>
  <xdr:twoCellAnchor>
    <xdr:from>
      <xdr:col>2</xdr:col>
      <xdr:colOff>0</xdr:colOff>
      <xdr:row>48</xdr:row>
      <xdr:rowOff>0</xdr:rowOff>
    </xdr:from>
    <xdr:to>
      <xdr:col>3</xdr:col>
      <xdr:colOff>0</xdr:colOff>
      <xdr:row>49</xdr:row>
      <xdr:rowOff>0</xdr:rowOff>
    </xdr:to>
    <xdr:sp macro="" textlink="">
      <xdr:nvSpPr>
        <xdr:cNvPr id="15" name="TextBox 14">
          <a:hlinkClick xmlns:r="http://schemas.openxmlformats.org/officeDocument/2006/relationships" r:id="rId7"/>
          <a:extLst>
            <a:ext uri="{FF2B5EF4-FFF2-40B4-BE49-F238E27FC236}">
              <a16:creationId xmlns:a16="http://schemas.microsoft.com/office/drawing/2014/main" id="{5F3098F1-AE0D-4CB9-967B-9007D41281E8}"/>
            </a:ext>
          </a:extLst>
        </xdr:cNvPr>
        <xdr:cNvSpPr txBox="1"/>
      </xdr:nvSpPr>
      <xdr:spPr>
        <a:xfrm>
          <a:off x="0" y="82534125"/>
          <a:ext cx="2019300" cy="1704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0A67H</a:t>
          </a:r>
        </a:p>
      </xdr:txBody>
    </xdr:sp>
    <xdr:clientData/>
  </xdr:twoCellAnchor>
  <xdr:twoCellAnchor>
    <xdr:from>
      <xdr:col>0</xdr:col>
      <xdr:colOff>0</xdr:colOff>
      <xdr:row>80</xdr:row>
      <xdr:rowOff>0</xdr:rowOff>
    </xdr:from>
    <xdr:to>
      <xdr:col>2</xdr:col>
      <xdr:colOff>63500</xdr:colOff>
      <xdr:row>80</xdr:row>
      <xdr:rowOff>60936</xdr:rowOff>
    </xdr:to>
    <xdr:sp macro="" textlink="">
      <xdr:nvSpPr>
        <xdr:cNvPr id="17" name="TextBox 16">
          <a:extLst>
            <a:ext uri="{FF2B5EF4-FFF2-40B4-BE49-F238E27FC236}">
              <a16:creationId xmlns:a16="http://schemas.microsoft.com/office/drawing/2014/main" id="{3371EBDC-033E-4AEE-B29C-D880F859A78E}"/>
            </a:ext>
          </a:extLst>
        </xdr:cNvPr>
        <xdr:cNvSpPr txBox="1"/>
      </xdr:nvSpPr>
      <xdr:spPr>
        <a:xfrm>
          <a:off x="0" y="10245090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0A89H</a:t>
          </a:r>
        </a:p>
      </xdr:txBody>
    </xdr:sp>
    <xdr:clientData/>
  </xdr:twoCellAnchor>
  <xdr:twoCellAnchor>
    <xdr:from>
      <xdr:col>0</xdr:col>
      <xdr:colOff>0</xdr:colOff>
      <xdr:row>82</xdr:row>
      <xdr:rowOff>0</xdr:rowOff>
    </xdr:from>
    <xdr:to>
      <xdr:col>2</xdr:col>
      <xdr:colOff>63500</xdr:colOff>
      <xdr:row>82</xdr:row>
      <xdr:rowOff>47625</xdr:rowOff>
    </xdr:to>
    <xdr:sp macro="" textlink="">
      <xdr:nvSpPr>
        <xdr:cNvPr id="18" name="TextBox 17">
          <a:extLst>
            <a:ext uri="{FF2B5EF4-FFF2-40B4-BE49-F238E27FC236}">
              <a16:creationId xmlns:a16="http://schemas.microsoft.com/office/drawing/2014/main" id="{4ADDB814-3D63-4356-9646-677D79C55624}"/>
            </a:ext>
          </a:extLst>
        </xdr:cNvPr>
        <xdr:cNvSpPr txBox="1"/>
      </xdr:nvSpPr>
      <xdr:spPr>
        <a:xfrm>
          <a:off x="0" y="115071525"/>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0A101H</a:t>
          </a:r>
        </a:p>
      </xdr:txBody>
    </xdr:sp>
    <xdr:clientData/>
  </xdr:twoCellAnchor>
  <xdr:twoCellAnchor>
    <xdr:from>
      <xdr:col>2</xdr:col>
      <xdr:colOff>0</xdr:colOff>
      <xdr:row>83</xdr:row>
      <xdr:rowOff>0</xdr:rowOff>
    </xdr:from>
    <xdr:to>
      <xdr:col>3</xdr:col>
      <xdr:colOff>0</xdr:colOff>
      <xdr:row>84</xdr:row>
      <xdr:rowOff>0</xdr:rowOff>
    </xdr:to>
    <xdr:sp macro="" textlink="">
      <xdr:nvSpPr>
        <xdr:cNvPr id="19" name="TextBox 18">
          <a:hlinkClick xmlns:r="http://schemas.openxmlformats.org/officeDocument/2006/relationships" r:id="rId8"/>
          <a:extLst>
            <a:ext uri="{FF2B5EF4-FFF2-40B4-BE49-F238E27FC236}">
              <a16:creationId xmlns:a16="http://schemas.microsoft.com/office/drawing/2014/main" id="{381EC4F4-0532-4CF3-85EF-504A2A6093D1}"/>
            </a:ext>
          </a:extLst>
        </xdr:cNvPr>
        <xdr:cNvSpPr txBox="1"/>
      </xdr:nvSpPr>
      <xdr:spPr>
        <a:xfrm>
          <a:off x="0" y="51368325"/>
          <a:ext cx="201930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0A53H</a:t>
          </a:r>
        </a:p>
      </xdr:txBody>
    </xdr:sp>
    <xdr:clientData/>
  </xdr:twoCellAnchor>
  <xdr:twoCellAnchor>
    <xdr:from>
      <xdr:col>0</xdr:col>
      <xdr:colOff>0</xdr:colOff>
      <xdr:row>89</xdr:row>
      <xdr:rowOff>0</xdr:rowOff>
    </xdr:from>
    <xdr:to>
      <xdr:col>2</xdr:col>
      <xdr:colOff>63500</xdr:colOff>
      <xdr:row>89</xdr:row>
      <xdr:rowOff>40821</xdr:rowOff>
    </xdr:to>
    <xdr:sp macro="" textlink="">
      <xdr:nvSpPr>
        <xdr:cNvPr id="21" name="TextBox 20">
          <a:extLst>
            <a:ext uri="{FF2B5EF4-FFF2-40B4-BE49-F238E27FC236}">
              <a16:creationId xmlns:a16="http://schemas.microsoft.com/office/drawing/2014/main" id="{44300A5F-5E8B-4766-8EF1-FA0A1CAE7CC8}"/>
            </a:ext>
          </a:extLst>
        </xdr:cNvPr>
        <xdr:cNvSpPr txBox="1"/>
      </xdr:nvSpPr>
      <xdr:spPr>
        <a:xfrm>
          <a:off x="0" y="117186075"/>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0A102H</a:t>
          </a:r>
        </a:p>
      </xdr:txBody>
    </xdr:sp>
    <xdr:clientData/>
  </xdr:twoCellAnchor>
  <xdr:twoCellAnchor>
    <xdr:from>
      <xdr:col>2</xdr:col>
      <xdr:colOff>0</xdr:colOff>
      <xdr:row>97</xdr:row>
      <xdr:rowOff>0</xdr:rowOff>
    </xdr:from>
    <xdr:to>
      <xdr:col>2</xdr:col>
      <xdr:colOff>63500</xdr:colOff>
      <xdr:row>97</xdr:row>
      <xdr:rowOff>63500</xdr:rowOff>
    </xdr:to>
    <xdr:sp macro="" textlink="">
      <xdr:nvSpPr>
        <xdr:cNvPr id="20" name="TextBox 19">
          <a:extLst>
            <a:ext uri="{FF2B5EF4-FFF2-40B4-BE49-F238E27FC236}">
              <a16:creationId xmlns:a16="http://schemas.microsoft.com/office/drawing/2014/main" id="{96B76F95-17A8-46DF-A293-298C5549EBF7}"/>
            </a:ext>
          </a:extLst>
        </xdr:cNvPr>
        <xdr:cNvSpPr txBox="1"/>
      </xdr:nvSpPr>
      <xdr:spPr>
        <a:xfrm>
          <a:off x="0" y="101546025"/>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0A92H</a:t>
          </a:r>
        </a:p>
      </xdr:txBody>
    </xdr:sp>
    <xdr:clientData/>
  </xdr:twoCellAnchor>
  <xdr:twoCellAnchor>
    <xdr:from>
      <xdr:col>2</xdr:col>
      <xdr:colOff>0</xdr:colOff>
      <xdr:row>53</xdr:row>
      <xdr:rowOff>0</xdr:rowOff>
    </xdr:from>
    <xdr:to>
      <xdr:col>2</xdr:col>
      <xdr:colOff>63500</xdr:colOff>
      <xdr:row>53</xdr:row>
      <xdr:rowOff>63500</xdr:rowOff>
    </xdr:to>
    <xdr:sp macro="" textlink="">
      <xdr:nvSpPr>
        <xdr:cNvPr id="22" name="TextBox 21">
          <a:extLst>
            <a:ext uri="{FF2B5EF4-FFF2-40B4-BE49-F238E27FC236}">
              <a16:creationId xmlns:a16="http://schemas.microsoft.com/office/drawing/2014/main" id="{BC9C30D4-6FDA-4597-8DC3-ED8C42831E28}"/>
            </a:ext>
          </a:extLst>
        </xdr:cNvPr>
        <xdr:cNvSpPr txBox="1"/>
      </xdr:nvSpPr>
      <xdr:spPr>
        <a:xfrm>
          <a:off x="0" y="11219688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0A101H</a:t>
          </a:r>
        </a:p>
      </xdr:txBody>
    </xdr:sp>
    <xdr:clientData/>
  </xdr:twoCellAnchor>
  <xdr:twoCellAnchor>
    <xdr:from>
      <xdr:col>2</xdr:col>
      <xdr:colOff>0</xdr:colOff>
      <xdr:row>55</xdr:row>
      <xdr:rowOff>0</xdr:rowOff>
    </xdr:from>
    <xdr:to>
      <xdr:col>2</xdr:col>
      <xdr:colOff>63500</xdr:colOff>
      <xdr:row>55</xdr:row>
      <xdr:rowOff>63500</xdr:rowOff>
    </xdr:to>
    <xdr:sp macro="" textlink="">
      <xdr:nvSpPr>
        <xdr:cNvPr id="23" name="TextBox 22">
          <a:extLst>
            <a:ext uri="{FF2B5EF4-FFF2-40B4-BE49-F238E27FC236}">
              <a16:creationId xmlns:a16="http://schemas.microsoft.com/office/drawing/2014/main" id="{3A3780AE-083C-4E98-888B-6C4247EBF508}"/>
            </a:ext>
          </a:extLst>
        </xdr:cNvPr>
        <xdr:cNvSpPr txBox="1"/>
      </xdr:nvSpPr>
      <xdr:spPr>
        <a:xfrm>
          <a:off x="0" y="10203942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0A93H</a:t>
          </a:r>
        </a:p>
      </xdr:txBody>
    </xdr:sp>
    <xdr:clientData/>
  </xdr:twoCellAnchor>
  <xdr:twoCellAnchor>
    <xdr:from>
      <xdr:col>2</xdr:col>
      <xdr:colOff>0</xdr:colOff>
      <xdr:row>105</xdr:row>
      <xdr:rowOff>0</xdr:rowOff>
    </xdr:from>
    <xdr:to>
      <xdr:col>2</xdr:col>
      <xdr:colOff>63500</xdr:colOff>
      <xdr:row>105</xdr:row>
      <xdr:rowOff>63500</xdr:rowOff>
    </xdr:to>
    <xdr:sp macro="" textlink="">
      <xdr:nvSpPr>
        <xdr:cNvPr id="24" name="TextBox 23">
          <a:extLst>
            <a:ext uri="{FF2B5EF4-FFF2-40B4-BE49-F238E27FC236}">
              <a16:creationId xmlns:a16="http://schemas.microsoft.com/office/drawing/2014/main" id="{E43DF8BD-B5EE-4266-9B59-848A3DC0F19B}"/>
            </a:ext>
          </a:extLst>
        </xdr:cNvPr>
        <xdr:cNvSpPr txBox="1"/>
      </xdr:nvSpPr>
      <xdr:spPr>
        <a:xfrm>
          <a:off x="0" y="12042648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0A111H</a:t>
          </a:r>
        </a:p>
      </xdr:txBody>
    </xdr:sp>
    <xdr:clientData/>
  </xdr:twoCellAnchor>
  <xdr:twoCellAnchor>
    <xdr:from>
      <xdr:col>2</xdr:col>
      <xdr:colOff>0</xdr:colOff>
      <xdr:row>106</xdr:row>
      <xdr:rowOff>0</xdr:rowOff>
    </xdr:from>
    <xdr:to>
      <xdr:col>2</xdr:col>
      <xdr:colOff>63500</xdr:colOff>
      <xdr:row>106</xdr:row>
      <xdr:rowOff>63500</xdr:rowOff>
    </xdr:to>
    <xdr:sp macro="" textlink="">
      <xdr:nvSpPr>
        <xdr:cNvPr id="25" name="TextBox 24">
          <a:extLst>
            <a:ext uri="{FF2B5EF4-FFF2-40B4-BE49-F238E27FC236}">
              <a16:creationId xmlns:a16="http://schemas.microsoft.com/office/drawing/2014/main" id="{90EDC84C-B9F9-450F-96A5-AEDF58872BDE}"/>
            </a:ext>
          </a:extLst>
        </xdr:cNvPr>
        <xdr:cNvSpPr txBox="1"/>
      </xdr:nvSpPr>
      <xdr:spPr>
        <a:xfrm>
          <a:off x="0" y="12145518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0A115H</a:t>
          </a:r>
        </a:p>
      </xdr:txBody>
    </xdr:sp>
    <xdr:clientData/>
  </xdr:twoCellAnchor>
  <xdr:twoCellAnchor>
    <xdr:from>
      <xdr:col>2</xdr:col>
      <xdr:colOff>0</xdr:colOff>
      <xdr:row>119</xdr:row>
      <xdr:rowOff>0</xdr:rowOff>
    </xdr:from>
    <xdr:to>
      <xdr:col>2</xdr:col>
      <xdr:colOff>63500</xdr:colOff>
      <xdr:row>119</xdr:row>
      <xdr:rowOff>63500</xdr:rowOff>
    </xdr:to>
    <xdr:sp macro="" textlink="">
      <xdr:nvSpPr>
        <xdr:cNvPr id="26" name="TextBox 25">
          <a:extLst>
            <a:ext uri="{FF2B5EF4-FFF2-40B4-BE49-F238E27FC236}">
              <a16:creationId xmlns:a16="http://schemas.microsoft.com/office/drawing/2014/main" id="{02A59EC7-50C8-4CA7-8857-39C550731566}"/>
            </a:ext>
          </a:extLst>
        </xdr:cNvPr>
        <xdr:cNvSpPr txBox="1"/>
      </xdr:nvSpPr>
      <xdr:spPr>
        <a:xfrm>
          <a:off x="0" y="10450068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0A94H</a:t>
          </a:r>
        </a:p>
      </xdr:txBody>
    </xdr:sp>
    <xdr:clientData/>
  </xdr:twoCellAnchor>
  <xdr:twoCellAnchor>
    <xdr:from>
      <xdr:col>2</xdr:col>
      <xdr:colOff>0</xdr:colOff>
      <xdr:row>128</xdr:row>
      <xdr:rowOff>0</xdr:rowOff>
    </xdr:from>
    <xdr:to>
      <xdr:col>2</xdr:col>
      <xdr:colOff>63500</xdr:colOff>
      <xdr:row>128</xdr:row>
      <xdr:rowOff>63500</xdr:rowOff>
    </xdr:to>
    <xdr:sp macro="" textlink="">
      <xdr:nvSpPr>
        <xdr:cNvPr id="27" name="TextBox 26">
          <a:extLst>
            <a:ext uri="{FF2B5EF4-FFF2-40B4-BE49-F238E27FC236}">
              <a16:creationId xmlns:a16="http://schemas.microsoft.com/office/drawing/2014/main" id="{F0DA211E-9419-4A21-8A5F-13B299C560E8}"/>
            </a:ext>
          </a:extLst>
        </xdr:cNvPr>
        <xdr:cNvSpPr txBox="1"/>
      </xdr:nvSpPr>
      <xdr:spPr>
        <a:xfrm>
          <a:off x="0" y="12403074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0A113H</a:t>
          </a:r>
        </a:p>
      </xdr:txBody>
    </xdr:sp>
    <xdr:clientData/>
  </xdr:twoCellAnchor>
  <xdr:twoCellAnchor>
    <xdr:from>
      <xdr:col>2</xdr:col>
      <xdr:colOff>0</xdr:colOff>
      <xdr:row>132</xdr:row>
      <xdr:rowOff>0</xdr:rowOff>
    </xdr:from>
    <xdr:to>
      <xdr:col>2</xdr:col>
      <xdr:colOff>63500</xdr:colOff>
      <xdr:row>132</xdr:row>
      <xdr:rowOff>63500</xdr:rowOff>
    </xdr:to>
    <xdr:sp macro="" textlink="">
      <xdr:nvSpPr>
        <xdr:cNvPr id="28" name="TextBox 27">
          <a:extLst>
            <a:ext uri="{FF2B5EF4-FFF2-40B4-BE49-F238E27FC236}">
              <a16:creationId xmlns:a16="http://schemas.microsoft.com/office/drawing/2014/main" id="{833D5C42-32A3-4979-8D41-E7C41F529F15}"/>
            </a:ext>
          </a:extLst>
        </xdr:cNvPr>
        <xdr:cNvSpPr txBox="1"/>
      </xdr:nvSpPr>
      <xdr:spPr>
        <a:xfrm>
          <a:off x="0" y="10568940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0A95H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pruceblob01.blob.core.windows.net/stwpnjeda/pdfs/agendas/10142016_agenda.pdf" TargetMode="External"/><Relationship Id="rId21" Type="http://schemas.openxmlformats.org/officeDocument/2006/relationships/hyperlink" Target="https://spruceblob01.blob.core.windows.net/stwpnjeda/pdfs/agendas/7102014agenda.pdf" TargetMode="External"/><Relationship Id="rId42" Type="http://schemas.openxmlformats.org/officeDocument/2006/relationships/hyperlink" Target="https://spruceblob01.blob.core.windows.net/stwpnjeda/pdfs/agendas/publicagenda01172012.pdf" TargetMode="External"/><Relationship Id="rId63" Type="http://schemas.openxmlformats.org/officeDocument/2006/relationships/hyperlink" Target="https://spruceblob01.blob.core.windows.net/stwpnjeda/pdfs/agendas/10082013agenda.pdf" TargetMode="External"/><Relationship Id="rId84" Type="http://schemas.openxmlformats.org/officeDocument/2006/relationships/hyperlink" Target="https://spruceblob01.blob.core.windows.net/stwpnjeda/pdfs/agendas/7102014agenda.pdf" TargetMode="External"/><Relationship Id="rId138" Type="http://schemas.openxmlformats.org/officeDocument/2006/relationships/hyperlink" Target="https://spruceblob01.blob.core.windows.net/stwpnjeda/web/pdf/02262015Agenda.pdf" TargetMode="External"/><Relationship Id="rId159" Type="http://schemas.openxmlformats.org/officeDocument/2006/relationships/hyperlink" Target="https://spruceblob01.blob.core.windows.net/stwpnjeda/pdfs/agendas/10142014Agenda.pdf" TargetMode="External"/><Relationship Id="rId170" Type="http://schemas.openxmlformats.org/officeDocument/2006/relationships/hyperlink" Target="https://spruceblob01.blob.core.windows.net/stwpnjeda/pdfs/agendas/08092016_agenda.pdf" TargetMode="External"/><Relationship Id="rId191" Type="http://schemas.openxmlformats.org/officeDocument/2006/relationships/hyperlink" Target="https://spruceblob01.blob.core.windows.net/stwpnjeda/pdfs/agendas/11172016_agenda.pdf" TargetMode="External"/><Relationship Id="rId196" Type="http://schemas.openxmlformats.org/officeDocument/2006/relationships/hyperlink" Target="https://spruceblob01.blob.core.windows.net/stwpnjeda/pdfs/agendas/04102018_agenda.pdf" TargetMode="External"/><Relationship Id="rId16" Type="http://schemas.openxmlformats.org/officeDocument/2006/relationships/hyperlink" Target="https://spruceblob01.blob.core.windows.net/stwpnjeda/pdfs/agendas/04102012agenda.pdf" TargetMode="External"/><Relationship Id="rId107" Type="http://schemas.openxmlformats.org/officeDocument/2006/relationships/hyperlink" Target="https://spruceblob01.blob.core.windows.net/stwpnjeda/pdfs/agendas/11132015_agenda.pdf" TargetMode="External"/><Relationship Id="rId11" Type="http://schemas.openxmlformats.org/officeDocument/2006/relationships/hyperlink" Target="https://spruceblob01.blob.core.windows.net/stwpnjeda/pdfs/agendas/120110_agendafull.pdf" TargetMode="External"/><Relationship Id="rId32" Type="http://schemas.openxmlformats.org/officeDocument/2006/relationships/hyperlink" Target="https://spruceblob01.blob.core.windows.net/stwpnjeda/pdfs/agendas/5162014agenda.pdf" TargetMode="External"/><Relationship Id="rId37" Type="http://schemas.openxmlformats.org/officeDocument/2006/relationships/hyperlink" Target="https://spruceblob01.blob.core.windows.net/stwpnjeda/pdfs/agendas/01122016_Agenda.pdf" TargetMode="External"/><Relationship Id="rId53" Type="http://schemas.openxmlformats.org/officeDocument/2006/relationships/hyperlink" Target="https://spruceblob01.blob.core.windows.net/stwpnjeda/pdfs/agendas/102010_agendafull.pdf" TargetMode="External"/><Relationship Id="rId58" Type="http://schemas.openxmlformats.org/officeDocument/2006/relationships/hyperlink" Target="https://spruceblob01.blob.core.windows.net/stwpnjeda/pdfs/mods/Grocery.pdf" TargetMode="External"/><Relationship Id="rId74" Type="http://schemas.openxmlformats.org/officeDocument/2006/relationships/hyperlink" Target="https://spruceblob01.blob.core.windows.net/stwpnjeda/pdfs/agendas/03122015_Agenda.pdf" TargetMode="External"/><Relationship Id="rId79" Type="http://schemas.openxmlformats.org/officeDocument/2006/relationships/hyperlink" Target="https://spruceblob01.blob.core.windows.net/stwpnjeda/pdfs/agendas/5162014agenda.pdf" TargetMode="External"/><Relationship Id="rId102" Type="http://schemas.openxmlformats.org/officeDocument/2006/relationships/hyperlink" Target="https://spruceblob01.blob.core.windows.net/stwpnjeda/pdfs/agendas/08112015_Agenda.pdf" TargetMode="External"/><Relationship Id="rId123" Type="http://schemas.openxmlformats.org/officeDocument/2006/relationships/hyperlink" Target="https://spruceblob01.blob.core.windows.net/stwpnjeda/pdfs/agendas/01102017_agenda.pdf" TargetMode="External"/><Relationship Id="rId128" Type="http://schemas.openxmlformats.org/officeDocument/2006/relationships/hyperlink" Target="https://spruceblob01.blob.core.windows.net/stwpnjeda/pdfs/agendas/07092015_EDAAgenda.pdf" TargetMode="External"/><Relationship Id="rId144" Type="http://schemas.openxmlformats.org/officeDocument/2006/relationships/hyperlink" Target="https://spruceblob01.blob.core.windows.net/stwpnjeda/pdfs/agendas/482014agenda.pdf" TargetMode="External"/><Relationship Id="rId149" Type="http://schemas.openxmlformats.org/officeDocument/2006/relationships/hyperlink" Target="https://spruceblob01.blob.core.windows.net/stwpnjeda/web/pdf/10152015_Agenda.pdf" TargetMode="External"/><Relationship Id="rId5" Type="http://schemas.openxmlformats.org/officeDocument/2006/relationships/hyperlink" Target="https://spruceblob01.blob.core.windows.net/stwpnjeda/pdfs/agendas/12092014Agenda.pdf" TargetMode="External"/><Relationship Id="rId90" Type="http://schemas.openxmlformats.org/officeDocument/2006/relationships/hyperlink" Target="https://spruceblob01.blob.core.windows.net/stwpnjeda/pdfs/agendas/01122016_Agenda.pdf" TargetMode="External"/><Relationship Id="rId95" Type="http://schemas.openxmlformats.org/officeDocument/2006/relationships/hyperlink" Target="https://spruceblob01.blob.core.windows.net/stwpnjeda/pdfs/agendas/07092015_EDAAgenda.pdf" TargetMode="External"/><Relationship Id="rId160" Type="http://schemas.openxmlformats.org/officeDocument/2006/relationships/hyperlink" Target="https://spruceblob01.blob.core.windows.net/stwpnjeda/pdfs/agendas/07142016_agenda.pdf" TargetMode="External"/><Relationship Id="rId165" Type="http://schemas.openxmlformats.org/officeDocument/2006/relationships/hyperlink" Target="https://spruceblob01.blob.core.windows.net/stwpnjeda/pdfs/agendas/11142017_agenda.pdf" TargetMode="External"/><Relationship Id="rId181" Type="http://schemas.openxmlformats.org/officeDocument/2006/relationships/hyperlink" Target="https://spruceblob01.blob.core.windows.net/stwpnjeda/web/pdf/10152015_Agenda.pdf" TargetMode="External"/><Relationship Id="rId186" Type="http://schemas.openxmlformats.org/officeDocument/2006/relationships/hyperlink" Target="https://spruceblob01.blob.core.windows.net/stwpnjeda/pdfs/agendas/09102015_Agenda.pdf" TargetMode="External"/><Relationship Id="rId22" Type="http://schemas.openxmlformats.org/officeDocument/2006/relationships/hyperlink" Target="https://spruceblob01.blob.core.windows.net/stwpnjeda/pdfs/agendas/10142014Agenda.pdf" TargetMode="External"/><Relationship Id="rId27" Type="http://schemas.openxmlformats.org/officeDocument/2006/relationships/hyperlink" Target="https://spruceblob01.blob.core.windows.net/stwpnjeda/web/pdf/EDA/03142013agenda.pdf" TargetMode="External"/><Relationship Id="rId43" Type="http://schemas.openxmlformats.org/officeDocument/2006/relationships/hyperlink" Target="https://spruceblob01.blob.core.windows.net/stwpnjeda/pdfs/agendas/04102012agenda.pdf" TargetMode="External"/><Relationship Id="rId48" Type="http://schemas.openxmlformats.org/officeDocument/2006/relationships/hyperlink" Target="https://spruceblob01.blob.core.windows.net/stwpnjeda/pdfs/agendas/May2010Boardmeetingagenda.pdf" TargetMode="External"/><Relationship Id="rId64" Type="http://schemas.openxmlformats.org/officeDocument/2006/relationships/hyperlink" Target="https://spruceblob01.blob.core.windows.net/stwpnjeda/pdfs/agendas/04092013agenda.pdf" TargetMode="External"/><Relationship Id="rId69" Type="http://schemas.openxmlformats.org/officeDocument/2006/relationships/hyperlink" Target="https://spruceblob01.blob.core.windows.net/stwpnjeda/pdfs/agendas/7102014agenda.pdf" TargetMode="External"/><Relationship Id="rId113" Type="http://schemas.openxmlformats.org/officeDocument/2006/relationships/hyperlink" Target="https://spruceblob01.blob.core.windows.net/stwpnjeda/pdfs/agendas/01122016_Agenda.pdf" TargetMode="External"/><Relationship Id="rId118" Type="http://schemas.openxmlformats.org/officeDocument/2006/relationships/hyperlink" Target="https://spruceblob01.blob.core.windows.net/stwpnjeda/pdfs/agendas/11152013agenda.pdf" TargetMode="External"/><Relationship Id="rId134" Type="http://schemas.openxmlformats.org/officeDocument/2006/relationships/hyperlink" Target="https://spruceblob01.blob.core.windows.net/stwpnjeda/pdfs/agendas/04102012agenda.pdf" TargetMode="External"/><Relationship Id="rId139" Type="http://schemas.openxmlformats.org/officeDocument/2006/relationships/hyperlink" Target="https://spruceblob01.blob.core.windows.net/stwpnjeda/web/pdf/07092015_EDAAgenda.pdf" TargetMode="External"/><Relationship Id="rId80" Type="http://schemas.openxmlformats.org/officeDocument/2006/relationships/hyperlink" Target="https://spruceblob01.blob.core.windows.net/stwpnjeda/pdfs/agendas/2112014agenda.pdf" TargetMode="External"/><Relationship Id="rId85" Type="http://schemas.openxmlformats.org/officeDocument/2006/relationships/hyperlink" Target="https://spruceblob01.blob.core.windows.net/stwpnjeda/pdfs/agendas/7102014agenda.pdf" TargetMode="External"/><Relationship Id="rId150" Type="http://schemas.openxmlformats.org/officeDocument/2006/relationships/hyperlink" Target="https://spruceblob01.blob.core.windows.net/stwpnjeda/pdfs/mods/LiDestri.pdf" TargetMode="External"/><Relationship Id="rId155" Type="http://schemas.openxmlformats.org/officeDocument/2006/relationships/hyperlink" Target="https://spruceblob01.blob.core.windows.net/stwpnjeda/web/pdf/09102015_Agenda.pdf" TargetMode="External"/><Relationship Id="rId171" Type="http://schemas.openxmlformats.org/officeDocument/2006/relationships/hyperlink" Target="https://spruceblob01.blob.core.windows.net/stwpnjeda/pdfs/agendas/04132017_agenda.pdf" TargetMode="External"/><Relationship Id="rId176" Type="http://schemas.openxmlformats.org/officeDocument/2006/relationships/hyperlink" Target="https://spruceblob01.blob.core.windows.net/stwpnjeda/web/pdf/Agenda_06092015.pdf" TargetMode="External"/><Relationship Id="rId192" Type="http://schemas.openxmlformats.org/officeDocument/2006/relationships/hyperlink" Target="https://spruceblob01.blob.core.windows.net/stwpnjeda/web/pdf/08112015_Agenda.pdf" TargetMode="External"/><Relationship Id="rId197" Type="http://schemas.openxmlformats.org/officeDocument/2006/relationships/hyperlink" Target="https://spruceblob01.blob.core.windows.net/stwpnjeda/pdfs/agendas/04102018_agenda.pdf" TargetMode="External"/><Relationship Id="rId12" Type="http://schemas.openxmlformats.org/officeDocument/2006/relationships/hyperlink" Target="https://spruceblob01.blob.core.windows.net/stwpnjeda/pdfs/agendas/February162011Boardagenda.pdf" TargetMode="External"/><Relationship Id="rId17" Type="http://schemas.openxmlformats.org/officeDocument/2006/relationships/hyperlink" Target="https://spruceblob01.blob.core.windows.net/stwpnjeda/web/pdf/EDA/01132015Agenda.pdf" TargetMode="External"/><Relationship Id="rId33" Type="http://schemas.openxmlformats.org/officeDocument/2006/relationships/hyperlink" Target="https://spruceblob01.blob.core.windows.net/stwpnjeda/pdfs/agendas/11132015_agenda.pdf" TargetMode="External"/><Relationship Id="rId38" Type="http://schemas.openxmlformats.org/officeDocument/2006/relationships/hyperlink" Target="https://spruceblob01.blob.core.windows.net/stwpnjeda/pdfs/agendas/1142014agenda.pdf" TargetMode="External"/><Relationship Id="rId59" Type="http://schemas.openxmlformats.org/officeDocument/2006/relationships/hyperlink" Target="https://spruceblob01.blob.core.windows.net/stwpnjeda/pdfs/agendas/11132015_agenda.pdf" TargetMode="External"/><Relationship Id="rId103" Type="http://schemas.openxmlformats.org/officeDocument/2006/relationships/hyperlink" Target="https://spruceblob01.blob.core.windows.net/stwpnjeda/pdfs/agendas/12092014Agenda.pdf" TargetMode="External"/><Relationship Id="rId108" Type="http://schemas.openxmlformats.org/officeDocument/2006/relationships/hyperlink" Target="https://spruceblob01.blob.core.windows.net/stwpnjeda/pdfs/agendas/07092015_EDAAgenda.pdf" TargetMode="External"/><Relationship Id="rId124" Type="http://schemas.openxmlformats.org/officeDocument/2006/relationships/hyperlink" Target="https://spruceblob01.blob.core.windows.net/stwpnjeda/pdfs/agendas/09092016_agenda.pdf" TargetMode="External"/><Relationship Id="rId129" Type="http://schemas.openxmlformats.org/officeDocument/2006/relationships/hyperlink" Target="https://spruceblob01.blob.core.windows.net/stwpnjeda/pdfs/agendas/02092016_Agenda.pdf" TargetMode="External"/><Relationship Id="rId54" Type="http://schemas.openxmlformats.org/officeDocument/2006/relationships/hyperlink" Target="https://spruceblob01.blob.core.windows.net/stwpnjeda/pdfs/agendas/02142012agenda.pdf" TargetMode="External"/><Relationship Id="rId70" Type="http://schemas.openxmlformats.org/officeDocument/2006/relationships/hyperlink" Target="https://spruceblob01.blob.core.windows.net/stwpnjeda/pdfs/agendas/07142016_agenda.pdf" TargetMode="External"/><Relationship Id="rId75" Type="http://schemas.openxmlformats.org/officeDocument/2006/relationships/hyperlink" Target="https://spruceblob01.blob.core.windows.net/stwpnjeda/pdfs/agendas/03122015_Agenda.pdf" TargetMode="External"/><Relationship Id="rId91" Type="http://schemas.openxmlformats.org/officeDocument/2006/relationships/hyperlink" Target="https://spruceblob01.blob.core.windows.net/stwpnjeda/pdfs/agendas/5162014agenda.pdf" TargetMode="External"/><Relationship Id="rId96" Type="http://schemas.openxmlformats.org/officeDocument/2006/relationships/hyperlink" Target="https://spruceblob01.blob.core.windows.net/stwpnjeda/pdfs/mods/LI2000" TargetMode="External"/><Relationship Id="rId140" Type="http://schemas.openxmlformats.org/officeDocument/2006/relationships/hyperlink" Target="https://spruceblob01.blob.core.windows.net/stwpnjeda/pdfs/agendas/2112014agenda.pdf" TargetMode="External"/><Relationship Id="rId145" Type="http://schemas.openxmlformats.org/officeDocument/2006/relationships/hyperlink" Target="https://spruceblob01.blob.core.windows.net/stwpnjeda/pdfs/agendas/2112014agenda.pdf" TargetMode="External"/><Relationship Id="rId161" Type="http://schemas.openxmlformats.org/officeDocument/2006/relationships/hyperlink" Target="https://spruceblob01.blob.core.windows.net/stwpnjeda/pdfs/agendas/01092018_agenda.pdf" TargetMode="External"/><Relationship Id="rId166" Type="http://schemas.openxmlformats.org/officeDocument/2006/relationships/hyperlink" Target="https://spruceblob01.blob.core.windows.net/stwpnjeda/pdfs/agendas/01122016_Agenda.pdf" TargetMode="External"/><Relationship Id="rId182" Type="http://schemas.openxmlformats.org/officeDocument/2006/relationships/hyperlink" Target="https://spruceblob01.blob.core.windows.net/stwpnjeda/web/pdf/10152015_Agenda.pdf" TargetMode="External"/><Relationship Id="rId187" Type="http://schemas.openxmlformats.org/officeDocument/2006/relationships/hyperlink" Target="https://spruceblob01.blob.core.windows.net/stwpnjeda/web/pdf/05152015_Agenda.pdf" TargetMode="External"/><Relationship Id="rId1" Type="http://schemas.openxmlformats.org/officeDocument/2006/relationships/hyperlink" Target="https://spruceblob01.blob.core.windows.net/stwpnjeda/pdfs/agendas/06122012agenda.pdf" TargetMode="External"/><Relationship Id="rId6" Type="http://schemas.openxmlformats.org/officeDocument/2006/relationships/hyperlink" Target="https://spruceblob01.blob.core.windows.net/stwpnjeda/pdfs/agendas/12092014Agenda.pdf" TargetMode="External"/><Relationship Id="rId23" Type="http://schemas.openxmlformats.org/officeDocument/2006/relationships/hyperlink" Target="https://spruceblob01.blob.core.windows.net/stwpnjeda/pdfs/agendas/5162014agenda.pdf" TargetMode="External"/><Relationship Id="rId28" Type="http://schemas.openxmlformats.org/officeDocument/2006/relationships/hyperlink" Target="https://spruceblob01.blob.core.windows.net/stwpnjeda/pdfs/agendas/05082012pa.pdf" TargetMode="External"/><Relationship Id="rId49" Type="http://schemas.openxmlformats.org/officeDocument/2006/relationships/hyperlink" Target="https://spruceblob01.blob.core.windows.net/stwpnjeda/pdfs/agendas/February2011BoardAgenda.pdf" TargetMode="External"/><Relationship Id="rId114" Type="http://schemas.openxmlformats.org/officeDocument/2006/relationships/hyperlink" Target="https://spruceblob01.blob.core.windows.net/stwpnjeda/pdfs/agendas/01122016_Agenda.pdf" TargetMode="External"/><Relationship Id="rId119" Type="http://schemas.openxmlformats.org/officeDocument/2006/relationships/hyperlink" Target="https://spruceblob01.blob.core.windows.net/stwpnjeda/pdfs/agendas/12082015_Agenda.pdf" TargetMode="External"/><Relationship Id="rId44" Type="http://schemas.openxmlformats.org/officeDocument/2006/relationships/hyperlink" Target="https://spruceblob01.blob.core.windows.net/stwpnjeda/pdfs/agendas/06112013agenda.pdf" TargetMode="External"/><Relationship Id="rId60" Type="http://schemas.openxmlformats.org/officeDocument/2006/relationships/hyperlink" Target="https://spruceblob01.blob.core.windows.net/stwpnjeda/pdfs/agendas/02142017_agenda.pdf" TargetMode="External"/><Relationship Id="rId65" Type="http://schemas.openxmlformats.org/officeDocument/2006/relationships/hyperlink" Target="https://spruceblob01.blob.core.windows.net/stwpnjeda/pdfs/agendas/12102013agenda.pdf" TargetMode="External"/><Relationship Id="rId81" Type="http://schemas.openxmlformats.org/officeDocument/2006/relationships/hyperlink" Target="https://spruceblob01.blob.core.windows.net/stwpnjeda/pdfs/agendas/02262015Agenda.pdf" TargetMode="External"/><Relationship Id="rId86" Type="http://schemas.openxmlformats.org/officeDocument/2006/relationships/hyperlink" Target="https://spruceblob01.blob.core.windows.net/stwpnjeda/pdfs/agendas/Agenda_06092015.pdf" TargetMode="External"/><Relationship Id="rId130" Type="http://schemas.openxmlformats.org/officeDocument/2006/relationships/hyperlink" Target="https://spruceblob01.blob.core.windows.net/stwpnjeda/pdfs/agendas/04102012agenda.pdf" TargetMode="External"/><Relationship Id="rId135" Type="http://schemas.openxmlformats.org/officeDocument/2006/relationships/hyperlink" Target="https://spruceblob01.blob.core.windows.net/stwpnjeda/pdfs/agendas/08142012.pdf" TargetMode="External"/><Relationship Id="rId151" Type="http://schemas.openxmlformats.org/officeDocument/2006/relationships/hyperlink" Target="https://spruceblob01.blob.core.windows.net/stwpnjeda/pdfs/agendas/04122016_agenda.pdf" TargetMode="External"/><Relationship Id="rId156" Type="http://schemas.openxmlformats.org/officeDocument/2006/relationships/hyperlink" Target="https://spruceblob01.blob.core.windows.net/stwpnjeda/web/pdf/09102015_Agenda.pdf" TargetMode="External"/><Relationship Id="rId177" Type="http://schemas.openxmlformats.org/officeDocument/2006/relationships/hyperlink" Target="https://spruceblob01.blob.core.windows.net/stwpnjeda/pdfs/agendas/02092016_Agenda.pdf" TargetMode="External"/><Relationship Id="rId198" Type="http://schemas.openxmlformats.org/officeDocument/2006/relationships/printerSettings" Target="../printerSettings/printerSettings1.bin"/><Relationship Id="rId172" Type="http://schemas.openxmlformats.org/officeDocument/2006/relationships/hyperlink" Target="https://spruceblob01.blob.core.windows.net/stwpnjeda/web/pdf/09102015_Agenda.pdf" TargetMode="External"/><Relationship Id="rId193" Type="http://schemas.openxmlformats.org/officeDocument/2006/relationships/hyperlink" Target="https://spruceblob01.blob.core.windows.net/stwpnjeda/pdfs/agendas/11172016_agenda.pdf" TargetMode="External"/><Relationship Id="rId13" Type="http://schemas.openxmlformats.org/officeDocument/2006/relationships/hyperlink" Target="https://spruceblob01.blob.core.windows.net/stwpnjeda/pdfs/agendas/October112011BoardMeetingagenda.pdf" TargetMode="External"/><Relationship Id="rId18" Type="http://schemas.openxmlformats.org/officeDocument/2006/relationships/hyperlink" Target="https://spruceblob01.blob.core.windows.net/stwpnjeda/pdfs/agendas/09122013agenda.pdf" TargetMode="External"/><Relationship Id="rId39" Type="http://schemas.openxmlformats.org/officeDocument/2006/relationships/hyperlink" Target="https://spruceblob01.blob.core.windows.net/stwpnjeda/pdfs/agendas/February2011BoardAgenda.pdf" TargetMode="External"/><Relationship Id="rId109" Type="http://schemas.openxmlformats.org/officeDocument/2006/relationships/hyperlink" Target="https://spruceblob01.blob.core.windows.net/stwpnjeda/pdfs/agendas/02092016_Agenda.pdf" TargetMode="External"/><Relationship Id="rId34" Type="http://schemas.openxmlformats.org/officeDocument/2006/relationships/hyperlink" Target="https://spruceblob01.blob.core.windows.net/stwpnjeda/pdfs/agendas/09112014Agenda.pdf" TargetMode="External"/><Relationship Id="rId50" Type="http://schemas.openxmlformats.org/officeDocument/2006/relationships/hyperlink" Target="https://spruceblob01.blob.core.windows.net/stwpnjeda/pdfs/agendas/09132012.pdf" TargetMode="External"/><Relationship Id="rId55" Type="http://schemas.openxmlformats.org/officeDocument/2006/relationships/hyperlink" Target="https://spruceblob01.blob.core.windows.net/stwpnjeda/pdfs/agendas/September162010BoardMeetingAgenda.pdf" TargetMode="External"/><Relationship Id="rId76" Type="http://schemas.openxmlformats.org/officeDocument/2006/relationships/hyperlink" Target="https://spruceblob01.blob.core.windows.net/stwpnjeda/pdfs/agendas/03122015_Agenda.pdf" TargetMode="External"/><Relationship Id="rId97" Type="http://schemas.openxmlformats.org/officeDocument/2006/relationships/hyperlink" Target="https://spruceblob01.blob.core.windows.net/stwpnjeda/pdfs/agendas/01122016_Agenda.pdf" TargetMode="External"/><Relationship Id="rId104" Type="http://schemas.openxmlformats.org/officeDocument/2006/relationships/hyperlink" Target="https://spruceblob01.blob.core.windows.net/stwpnjeda/pdfs/agendas/10142014Agenda.pdf" TargetMode="External"/><Relationship Id="rId120" Type="http://schemas.openxmlformats.org/officeDocument/2006/relationships/hyperlink" Target="https://spruceblob01.blob.core.windows.net/stwpnjeda/pdfs/agendas/12112012agenda.pdf" TargetMode="External"/><Relationship Id="rId125" Type="http://schemas.openxmlformats.org/officeDocument/2006/relationships/hyperlink" Target="https://spruceblob01.blob.core.windows.net/stwpnjeda/pdfs/agendas/10082013agenda.pdf" TargetMode="External"/><Relationship Id="rId141" Type="http://schemas.openxmlformats.org/officeDocument/2006/relationships/hyperlink" Target="https://spruceblob01.blob.core.windows.net/stwpnjeda/web/pdf/05152015_Agenda.pdf" TargetMode="External"/><Relationship Id="rId146" Type="http://schemas.openxmlformats.org/officeDocument/2006/relationships/hyperlink" Target="https://spruceblob01.blob.core.windows.net/stwpnjeda/web/pdf/10152015_Agenda.pdf" TargetMode="External"/><Relationship Id="rId167" Type="http://schemas.openxmlformats.org/officeDocument/2006/relationships/hyperlink" Target="https://spruceblob01.blob.core.windows.net/stwpnjeda/pdfs/agendas/11172016_agenda.pdf" TargetMode="External"/><Relationship Id="rId188" Type="http://schemas.openxmlformats.org/officeDocument/2006/relationships/hyperlink" Target="https://spruceblob01.blob.core.windows.net/stwpnjeda/web/pdf/09102015_Agenda.pdf" TargetMode="External"/><Relationship Id="rId7" Type="http://schemas.openxmlformats.org/officeDocument/2006/relationships/hyperlink" Target="https://spruceblob01.blob.core.windows.net/stwpnjeda/pdfs/agendas/1142014agenda.pdf" TargetMode="External"/><Relationship Id="rId71" Type="http://schemas.openxmlformats.org/officeDocument/2006/relationships/hyperlink" Target="https://spruceblob01.blob.core.windows.net/stwpnjeda/pdfs/mods/Material-Handling-Supply.pdf" TargetMode="External"/><Relationship Id="rId92" Type="http://schemas.openxmlformats.org/officeDocument/2006/relationships/hyperlink" Target="https://spruceblob01.blob.core.windows.net/stwpnjeda/pdfs/mods/GBT.pdf" TargetMode="External"/><Relationship Id="rId162" Type="http://schemas.openxmlformats.org/officeDocument/2006/relationships/hyperlink" Target="https://spruceblob01.blob.core.windows.net/stwpnjeda/pdfs/agendas/05132016_agenda.pdf" TargetMode="External"/><Relationship Id="rId183" Type="http://schemas.openxmlformats.org/officeDocument/2006/relationships/hyperlink" Target="https://spruceblob01.blob.core.windows.net/stwpnjeda/pdfs/agendas/08092016_agenda.pdf" TargetMode="External"/><Relationship Id="rId2" Type="http://schemas.openxmlformats.org/officeDocument/2006/relationships/hyperlink" Target="https://spruceblob01.blob.core.windows.net/stwpnjeda/web/pdf/EDA/110911fullagenda.pdf" TargetMode="External"/><Relationship Id="rId29" Type="http://schemas.openxmlformats.org/officeDocument/2006/relationships/hyperlink" Target="https://spruceblob01.blob.core.windows.net/stwpnjeda/pdfs/agendas/August2010BoardMeetingAgenda.pdf" TargetMode="External"/><Relationship Id="rId24" Type="http://schemas.openxmlformats.org/officeDocument/2006/relationships/hyperlink" Target="https://spruceblob01.blob.core.windows.net/stwpnjeda/pdfs/agendas/02142012agenda.pdf" TargetMode="External"/><Relationship Id="rId40" Type="http://schemas.openxmlformats.org/officeDocument/2006/relationships/hyperlink" Target="https://spruceblob01.blob.core.windows.net/stwpnjeda/pdfs/agendas/06122012agenda.pdf" TargetMode="External"/><Relationship Id="rId45" Type="http://schemas.openxmlformats.org/officeDocument/2006/relationships/hyperlink" Target="https://spruceblob01.blob.core.windows.net/stwpnjeda/pdfs/agendas/12092014Agenda.pdf" TargetMode="External"/><Relationship Id="rId66" Type="http://schemas.openxmlformats.org/officeDocument/2006/relationships/hyperlink" Target="https://spruceblob01.blob.core.windows.net/stwpnjeda/pdfs/agendas/10082013agenda.pdf" TargetMode="External"/><Relationship Id="rId87" Type="http://schemas.openxmlformats.org/officeDocument/2006/relationships/hyperlink" Target="https://spruceblob01.blob.core.windows.net/stwpnjeda/pdfs/agendas/10152015_Agenda.pdf" TargetMode="External"/><Relationship Id="rId110" Type="http://schemas.openxmlformats.org/officeDocument/2006/relationships/hyperlink" Target="https://spruceblob01.blob.core.windows.net/stwpnjeda/pdfs/agendas/12082015_Agenda.pdf" TargetMode="External"/><Relationship Id="rId115" Type="http://schemas.openxmlformats.org/officeDocument/2006/relationships/hyperlink" Target="https://spruceblob01.blob.core.windows.net/stwpnjeda/pdfs/agendas/09102015_Agenda.pdf" TargetMode="External"/><Relationship Id="rId131" Type="http://schemas.openxmlformats.org/officeDocument/2006/relationships/hyperlink" Target="https://spruceblob01.blob.core.windows.net/stwpnjeda/pdfs/agendas/06122012agenda.pdf" TargetMode="External"/><Relationship Id="rId136" Type="http://schemas.openxmlformats.org/officeDocument/2006/relationships/hyperlink" Target="https://spruceblob01.blob.core.windows.net/stwpnjeda/web/pdf/EDA/01132015Agenda.pdf" TargetMode="External"/><Relationship Id="rId157" Type="http://schemas.openxmlformats.org/officeDocument/2006/relationships/hyperlink" Target="https://spruceblob01.blob.core.windows.net/stwpnjeda/pdfs/agendas/12092014Agenda.pdf" TargetMode="External"/><Relationship Id="rId178" Type="http://schemas.openxmlformats.org/officeDocument/2006/relationships/hyperlink" Target="https://spruceblob01.blob.core.windows.net/stwpnjeda/pdfs/agendas/04122016_agenda.pdf" TargetMode="External"/><Relationship Id="rId61" Type="http://schemas.openxmlformats.org/officeDocument/2006/relationships/hyperlink" Target="https://spruceblob01.blob.core.windows.net/stwpnjeda/pdfs/agendas/6102014agenda.pdf" TargetMode="External"/><Relationship Id="rId82" Type="http://schemas.openxmlformats.org/officeDocument/2006/relationships/hyperlink" Target="https://spruceblob01.blob.core.windows.net/stwpnjeda/pdfs/agendas/02262015Agenda.pdf" TargetMode="External"/><Relationship Id="rId152" Type="http://schemas.openxmlformats.org/officeDocument/2006/relationships/hyperlink" Target="https://spruceblob01.blob.core.windows.net/stwpnjeda/pdfs/agendas/12122017_agenda.pdf" TargetMode="External"/><Relationship Id="rId173" Type="http://schemas.openxmlformats.org/officeDocument/2006/relationships/hyperlink" Target="https://spruceblob01.blob.core.windows.net/stwpnjeda/pdfs/mods/FS.pdf" TargetMode="External"/><Relationship Id="rId194" Type="http://schemas.openxmlformats.org/officeDocument/2006/relationships/hyperlink" Target="https://spruceblob01.blob.core.windows.net/stwpnjeda/pdfs/agendas/12112012agenda.pdf" TargetMode="External"/><Relationship Id="rId199" Type="http://schemas.openxmlformats.org/officeDocument/2006/relationships/drawing" Target="../drawings/drawing1.xml"/><Relationship Id="rId19" Type="http://schemas.openxmlformats.org/officeDocument/2006/relationships/hyperlink" Target="https://spruceblob01.blob.core.windows.net/stwpnjeda/pdfs/agendas/6102014agenda.pdf" TargetMode="External"/><Relationship Id="rId14" Type="http://schemas.openxmlformats.org/officeDocument/2006/relationships/hyperlink" Target="https://spruceblob01.blob.core.windows.net/stwpnjeda/pdfs/agendas/06012012agenda.pdf" TargetMode="External"/><Relationship Id="rId30" Type="http://schemas.openxmlformats.org/officeDocument/2006/relationships/hyperlink" Target="https://spruceblob01.blob.core.windows.net/stwpnjeda/pdfs/agendas/August2010BoardMeetingAgenda.pdf" TargetMode="External"/><Relationship Id="rId35" Type="http://schemas.openxmlformats.org/officeDocument/2006/relationships/hyperlink" Target="https://spruceblob01.blob.core.windows.net/stwpnjeda/pdfs/agendas/10142014Agenda.pdf" TargetMode="External"/><Relationship Id="rId56" Type="http://schemas.openxmlformats.org/officeDocument/2006/relationships/hyperlink" Target="https://spruceblob01.blob.core.windows.net/stwpnjeda/pdfs/agendas/04122016_agenda.pdf" TargetMode="External"/><Relationship Id="rId77" Type="http://schemas.openxmlformats.org/officeDocument/2006/relationships/hyperlink" Target="https://spruceblob01.blob.core.windows.net/stwpnjeda/pdfs/agendas/2242014agenda.pdf" TargetMode="External"/><Relationship Id="rId100" Type="http://schemas.openxmlformats.org/officeDocument/2006/relationships/hyperlink" Target="https://spruceblob01.blob.core.windows.net/stwpnjeda/pdfs/agendas/Agenda_06092015.pdf" TargetMode="External"/><Relationship Id="rId105" Type="http://schemas.openxmlformats.org/officeDocument/2006/relationships/hyperlink" Target="https://spruceblob01.blob.core.windows.net/stwpnjeda/pdfs/agendas/09112014Agenda.pdf" TargetMode="External"/><Relationship Id="rId126" Type="http://schemas.openxmlformats.org/officeDocument/2006/relationships/hyperlink" Target="https://spruceblob01.blob.core.windows.net/stwpnjeda/pdfs/agendas/04102012agenda.pdf" TargetMode="External"/><Relationship Id="rId147" Type="http://schemas.openxmlformats.org/officeDocument/2006/relationships/hyperlink" Target="https://spruceblob01.blob.core.windows.net/stwpnjeda/web/pdf/04122015_Agenda.pdf" TargetMode="External"/><Relationship Id="rId168" Type="http://schemas.openxmlformats.org/officeDocument/2006/relationships/hyperlink" Target="https://spruceblob01.blob.core.windows.net/stwpnjeda/web/pdf/05152015_Agenda.pdf" TargetMode="External"/><Relationship Id="rId8" Type="http://schemas.openxmlformats.org/officeDocument/2006/relationships/hyperlink" Target="https://spruceblob01.blob.core.windows.net/stwpnjeda/pdfs/agendas/6102014agenda.pdf" TargetMode="External"/><Relationship Id="rId51" Type="http://schemas.openxmlformats.org/officeDocument/2006/relationships/hyperlink" Target="https://spruceblob01.blob.core.windows.net/stwpnjeda/web/pdf/EDA/110911fullagenda.pdf" TargetMode="External"/><Relationship Id="rId72" Type="http://schemas.openxmlformats.org/officeDocument/2006/relationships/hyperlink" Target="https://spruceblob01.blob.core.windows.net/stwpnjeda/pdfs/mods/Pollaro.pdf" TargetMode="External"/><Relationship Id="rId93" Type="http://schemas.openxmlformats.org/officeDocument/2006/relationships/hyperlink" Target="https://spruceblob01.blob.core.windows.net/stwpnjeda/pdfs/agendas/05152015_Agenda.pdf" TargetMode="External"/><Relationship Id="rId98" Type="http://schemas.openxmlformats.org/officeDocument/2006/relationships/hyperlink" Target="https://spruceblob01.blob.core.windows.net/stwpnjeda/pdfs/agendas/publicagenda01172012.pdf" TargetMode="External"/><Relationship Id="rId121" Type="http://schemas.openxmlformats.org/officeDocument/2006/relationships/hyperlink" Target="https://spruceblob01.blob.core.windows.net/stwpnjeda/web/pdf/05152015_Agenda.pdf" TargetMode="External"/><Relationship Id="rId142" Type="http://schemas.openxmlformats.org/officeDocument/2006/relationships/hyperlink" Target="https://spruceblob01.blob.core.windows.net/stwpnjeda/pdfs/agendas/6102014agenda.pdf" TargetMode="External"/><Relationship Id="rId163" Type="http://schemas.openxmlformats.org/officeDocument/2006/relationships/hyperlink" Target="https://spruceblob01.blob.core.windows.net/stwpnjeda/pdfs/agendas/7102014agenda.pdf" TargetMode="External"/><Relationship Id="rId184" Type="http://schemas.openxmlformats.org/officeDocument/2006/relationships/hyperlink" Target="https://spruceblob01.blob.core.windows.net/stwpnjeda/pdfs/agendas/04122015_Agenda.pdf" TargetMode="External"/><Relationship Id="rId189" Type="http://schemas.openxmlformats.org/officeDocument/2006/relationships/hyperlink" Target="https://spruceblob01.blob.core.windows.net/stwpnjeda/web/pdf/07092015_EDAAgenda.pdf" TargetMode="External"/><Relationship Id="rId3" Type="http://schemas.openxmlformats.org/officeDocument/2006/relationships/hyperlink" Target="https://spruceblob01.blob.core.windows.net/stwpnjeda/pdfs/agendas/03152012agenda.pdf" TargetMode="External"/><Relationship Id="rId25" Type="http://schemas.openxmlformats.org/officeDocument/2006/relationships/hyperlink" Target="https://spruceblob01.blob.core.windows.net/stwpnjeda/pdfs/agendas/02262015Agenda.pdf" TargetMode="External"/><Relationship Id="rId46" Type="http://schemas.openxmlformats.org/officeDocument/2006/relationships/hyperlink" Target="https://spruceblob01.blob.core.windows.net/stwpnjeda/pdfs/agendas/02092016_Agenda.pdf" TargetMode="External"/><Relationship Id="rId67" Type="http://schemas.openxmlformats.org/officeDocument/2006/relationships/hyperlink" Target="https://spruceblob01.blob.core.windows.net/stwpnjeda/pdfs/agendas/12102013agenda.pdf" TargetMode="External"/><Relationship Id="rId116" Type="http://schemas.openxmlformats.org/officeDocument/2006/relationships/hyperlink" Target="https://spruceblob01.blob.core.windows.net/stwpnjeda/pdfs/agendas/01122016_Agenda.pdf" TargetMode="External"/><Relationship Id="rId137" Type="http://schemas.openxmlformats.org/officeDocument/2006/relationships/hyperlink" Target="https://spruceblob01.blob.core.windows.net/stwpnjeda/pdfs/agendas/10142014Agenda.pdf" TargetMode="External"/><Relationship Id="rId158" Type="http://schemas.openxmlformats.org/officeDocument/2006/relationships/hyperlink" Target="https://spruceblob01.blob.core.windows.net/stwpnjeda/web/pdf/EDA/01132015Agenda.pdf" TargetMode="External"/><Relationship Id="rId20" Type="http://schemas.openxmlformats.org/officeDocument/2006/relationships/hyperlink" Target="https://spruceblob01.blob.core.windows.net/stwpnjeda/pdfs/agendas/5162014agenda.pdf" TargetMode="External"/><Relationship Id="rId41" Type="http://schemas.openxmlformats.org/officeDocument/2006/relationships/hyperlink" Target="https://spruceblob01.blob.core.windows.net/stwpnjeda/pdfs/agendas/04092013agenda.pdf" TargetMode="External"/><Relationship Id="rId62" Type="http://schemas.openxmlformats.org/officeDocument/2006/relationships/hyperlink" Target="https://spruceblob01.blob.core.windows.net/stwpnjeda/pdfs/agendas/02142017_agenda.pdf" TargetMode="External"/><Relationship Id="rId83" Type="http://schemas.openxmlformats.org/officeDocument/2006/relationships/hyperlink" Target="https://spruceblob01.blob.core.windows.net/stwpnjeda/web/pdf/11102014_Agenda.pdf" TargetMode="External"/><Relationship Id="rId88" Type="http://schemas.openxmlformats.org/officeDocument/2006/relationships/hyperlink" Target="https://spruceblob01.blob.core.windows.net/stwpnjeda/pdfs/agendas/05152015_Agenda.pdf" TargetMode="External"/><Relationship Id="rId111" Type="http://schemas.openxmlformats.org/officeDocument/2006/relationships/hyperlink" Target="https://spruceblob01.blob.core.windows.net/stwpnjeda/pdfs/agendas/12132016_agenda.pdf" TargetMode="External"/><Relationship Id="rId132" Type="http://schemas.openxmlformats.org/officeDocument/2006/relationships/hyperlink" Target="https://spruceblob01.blob.core.windows.net/stwpnjeda/pdfs/agendas/07142016_agenda.pdf" TargetMode="External"/><Relationship Id="rId153" Type="http://schemas.openxmlformats.org/officeDocument/2006/relationships/hyperlink" Target="https://spruceblob01.blob.core.windows.net/stwpnjeda/pdfs/agendas/12092014Agenda.pdf" TargetMode="External"/><Relationship Id="rId174" Type="http://schemas.openxmlformats.org/officeDocument/2006/relationships/hyperlink" Target="https://spruceblob01.blob.core.windows.net/stwpnjeda/pdfs/agendas/04132017_agenda.pdf" TargetMode="External"/><Relationship Id="rId179" Type="http://schemas.openxmlformats.org/officeDocument/2006/relationships/hyperlink" Target="https://spruceblob01.blob.core.windows.net/stwpnjeda/pdfs/agendas/03112016_agenda.pdf" TargetMode="External"/><Relationship Id="rId195" Type="http://schemas.openxmlformats.org/officeDocument/2006/relationships/hyperlink" Target="https://spruceblob01.blob.core.windows.net/stwpnjeda/pdfs/agendas/07122012agenda.pdf" TargetMode="External"/><Relationship Id="rId190" Type="http://schemas.openxmlformats.org/officeDocument/2006/relationships/hyperlink" Target="https://spruceblob01.blob.core.windows.net/stwpnjeda/pdfs/agendas/05112017_agenda.pdf" TargetMode="External"/><Relationship Id="rId15" Type="http://schemas.openxmlformats.org/officeDocument/2006/relationships/hyperlink" Target="https://spruceblob01.blob.core.windows.net/stwpnjeda/pdfs/agendas/08142012.pdf" TargetMode="External"/><Relationship Id="rId36" Type="http://schemas.openxmlformats.org/officeDocument/2006/relationships/hyperlink" Target="https://spruceblob01.blob.core.windows.net/stwpnjeda/pdfs/agendas/5162014agenda.pdf" TargetMode="External"/><Relationship Id="rId57" Type="http://schemas.openxmlformats.org/officeDocument/2006/relationships/hyperlink" Target="https://spruceblob01.blob.core.windows.net/stwpnjeda/pdfs/agendas/01122016_Agenda.pdf" TargetMode="External"/><Relationship Id="rId106" Type="http://schemas.openxmlformats.org/officeDocument/2006/relationships/hyperlink" Target="https://spruceblob01.blob.core.windows.net/stwpnjeda/pdfs/agendas/11132015_agenda.pdf" TargetMode="External"/><Relationship Id="rId127" Type="http://schemas.openxmlformats.org/officeDocument/2006/relationships/hyperlink" Target="https://spruceblob01.blob.core.windows.net/stwpnjeda/web/pdf/EDA/01132015Agenda.pdf" TargetMode="External"/><Relationship Id="rId10" Type="http://schemas.openxmlformats.org/officeDocument/2006/relationships/hyperlink" Target="https://spruceblob01.blob.core.windows.net/stwpnjeda/pdfs/agendas/May2010Boardmeetingagenda.pdf" TargetMode="External"/><Relationship Id="rId31" Type="http://schemas.openxmlformats.org/officeDocument/2006/relationships/hyperlink" Target="https://spruceblob01.blob.core.windows.net/stwpnjeda/pdfs/agendas/05152015_Agenda.pdf" TargetMode="External"/><Relationship Id="rId52" Type="http://schemas.openxmlformats.org/officeDocument/2006/relationships/hyperlink" Target="https://spruceblob01.blob.core.windows.net/stwpnjeda/pdfs/agendas/february2010BoardAgenda.pdf" TargetMode="External"/><Relationship Id="rId73" Type="http://schemas.openxmlformats.org/officeDocument/2006/relationships/hyperlink" Target="https://spruceblob01.blob.core.windows.net/stwpnjeda/pdfs/agendas/04122015_Agenda.pdf" TargetMode="External"/><Relationship Id="rId78" Type="http://schemas.openxmlformats.org/officeDocument/2006/relationships/hyperlink" Target="https://spruceblob01.blob.core.windows.net/stwpnjeda/pdfs/agendas/2242014agenda.pdf" TargetMode="External"/><Relationship Id="rId94" Type="http://schemas.openxmlformats.org/officeDocument/2006/relationships/hyperlink" Target="https://spruceblob01.blob.core.windows.net/stwpnjeda/pdfs/agendas/06142016_agenda.pdf" TargetMode="External"/><Relationship Id="rId99" Type="http://schemas.openxmlformats.org/officeDocument/2006/relationships/hyperlink" Target="https://spruceblob01.blob.core.windows.net/stwpnjeda/web/pdf/11102014_Agenda.pdf" TargetMode="External"/><Relationship Id="rId101" Type="http://schemas.openxmlformats.org/officeDocument/2006/relationships/hyperlink" Target="https://spruceblob01.blob.core.windows.net/stwpnjeda/pdfs/agendas/Agenda_06092015.pdf" TargetMode="External"/><Relationship Id="rId122" Type="http://schemas.openxmlformats.org/officeDocument/2006/relationships/hyperlink" Target="https://spruceblob01.blob.core.windows.net/stwpnjeda/pdfs/agendas/10142016_agenda.pdf" TargetMode="External"/><Relationship Id="rId143" Type="http://schemas.openxmlformats.org/officeDocument/2006/relationships/hyperlink" Target="https://spruceblob01.blob.core.windows.net/stwpnjeda/pdfs/agendas/8122014agenda.pdf" TargetMode="External"/><Relationship Id="rId148" Type="http://schemas.openxmlformats.org/officeDocument/2006/relationships/hyperlink" Target="https://spruceblob01.blob.core.windows.net/stwpnjeda/pdfs/agendas/07142016_agenda.pdf" TargetMode="External"/><Relationship Id="rId164" Type="http://schemas.openxmlformats.org/officeDocument/2006/relationships/hyperlink" Target="https://spruceblob01.blob.core.windows.net/stwpnjeda/web/pdf/12082015_Agenda.pdf" TargetMode="External"/><Relationship Id="rId169" Type="http://schemas.openxmlformats.org/officeDocument/2006/relationships/hyperlink" Target="https://spruceblob01.blob.core.windows.net/stwpnjeda/pdfs/agendas/12092014Agenda.pdf" TargetMode="External"/><Relationship Id="rId185" Type="http://schemas.openxmlformats.org/officeDocument/2006/relationships/hyperlink" Target="https://spruceblob01.blob.core.windows.net/stwpnjeda/pdfs/agendas/06132017_agenda.pdf" TargetMode="External"/><Relationship Id="rId4" Type="http://schemas.openxmlformats.org/officeDocument/2006/relationships/hyperlink" Target="https://spruceblob01.blob.core.windows.net/stwpnjeda/pdfs/agendas/12132011agenda.pdf" TargetMode="External"/><Relationship Id="rId9" Type="http://schemas.openxmlformats.org/officeDocument/2006/relationships/hyperlink" Target="https://spruceblob01.blob.core.windows.net/stwpnjeda/pdfs/agendas/09112014Agenda.pdf" TargetMode="External"/><Relationship Id="rId180" Type="http://schemas.openxmlformats.org/officeDocument/2006/relationships/hyperlink" Target="https://spruceblob01.blob.core.windows.net/stwpnjeda/pdfs/agendas/09112014Agenda.pdf" TargetMode="External"/><Relationship Id="rId26" Type="http://schemas.openxmlformats.org/officeDocument/2006/relationships/hyperlink" Target="https://spruceblob01.blob.core.windows.net/stwpnjeda/pdfs/agendas/10142014Agenda.pdf" TargetMode="External"/><Relationship Id="rId47" Type="http://schemas.openxmlformats.org/officeDocument/2006/relationships/hyperlink" Target="https://spruceblob01.blob.core.windows.net/stwpnjeda/pdfs/agendas/10082013agenda.pdf" TargetMode="External"/><Relationship Id="rId68" Type="http://schemas.openxmlformats.org/officeDocument/2006/relationships/hyperlink" Target="https://spruceblob01.blob.core.windows.net/stwpnjeda/pdfs/mods/Fidessa.pdf" TargetMode="External"/><Relationship Id="rId89" Type="http://schemas.openxmlformats.org/officeDocument/2006/relationships/hyperlink" Target="https://spruceblob01.blob.core.windows.net/stwpnjeda/pdfs/agendas/03122015_Agenda.pdf" TargetMode="External"/><Relationship Id="rId112" Type="http://schemas.openxmlformats.org/officeDocument/2006/relationships/hyperlink" Target="https://spruceblob01.blob.core.windows.net/stwpnjeda/pdfs/agendas/05292015_Agenda.pdf" TargetMode="External"/><Relationship Id="rId133" Type="http://schemas.openxmlformats.org/officeDocument/2006/relationships/hyperlink" Target="https://spruceblob01.blob.core.windows.net/stwpnjeda/pdfs/agendas/06122012agenda.pdf" TargetMode="External"/><Relationship Id="rId154" Type="http://schemas.openxmlformats.org/officeDocument/2006/relationships/hyperlink" Target="https://spruceblob01.blob.core.windows.net/stwpnjeda/pdfs/agendas/09112014Agenda.pdf" TargetMode="External"/><Relationship Id="rId175" Type="http://schemas.openxmlformats.org/officeDocument/2006/relationships/hyperlink" Target="https://spruceblob01.blob.core.windows.net/stwpnjeda/pdfs/agendas/08082017_age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X353"/>
  <sheetViews>
    <sheetView tabSelected="1" topLeftCell="C298" zoomScale="75" zoomScaleNormal="75" zoomScaleSheetLayoutView="70" zoomScalePageLayoutView="40" workbookViewId="0">
      <selection activeCell="I315" sqref="I315"/>
    </sheetView>
  </sheetViews>
  <sheetFormatPr defaultColWidth="9.109375" defaultRowHeight="15.6" x14ac:dyDescent="0.3"/>
  <cols>
    <col min="1" max="1" width="7.109375" style="1" hidden="1" customWidth="1"/>
    <col min="2" max="2" width="9.77734375" style="256" hidden="1" customWidth="1"/>
    <col min="3" max="3" width="31.44140625" style="1" customWidth="1"/>
    <col min="4" max="4" width="16.88671875" style="2" customWidth="1"/>
    <col min="5" max="5" width="21.5546875" style="2" customWidth="1"/>
    <col min="6" max="6" width="17.44140625" style="2" customWidth="1"/>
    <col min="7" max="7" width="27.44140625" style="2" bestFit="1" customWidth="1"/>
    <col min="8" max="8" width="19.33203125" style="2" customWidth="1"/>
    <col min="9" max="9" width="23.109375" style="3" customWidth="1"/>
    <col min="10" max="10" width="26" style="3" customWidth="1"/>
    <col min="11" max="12" width="19" style="4" customWidth="1"/>
    <col min="13" max="13" width="16.5546875" style="3" customWidth="1"/>
    <col min="14" max="15" width="22.6640625" style="2" bestFit="1" customWidth="1"/>
    <col min="16" max="16" width="23.33203125" style="5" bestFit="1" customWidth="1"/>
    <col min="17" max="17" width="27" style="2" customWidth="1"/>
    <col min="18" max="18" width="23.6640625" style="2" customWidth="1"/>
    <col min="19" max="19" width="18.33203125" style="2" customWidth="1"/>
    <col min="20" max="20" width="19.44140625" style="2" bestFit="1" customWidth="1"/>
    <col min="21" max="21" width="18.88671875" style="2" bestFit="1" customWidth="1"/>
    <col min="22" max="22" width="14" style="2" customWidth="1"/>
    <col min="23" max="23" width="19.44140625" style="1" bestFit="1" customWidth="1"/>
    <col min="24" max="24" width="18.88671875" style="1" bestFit="1" customWidth="1"/>
    <col min="25" max="25" width="14" style="1" bestFit="1" customWidth="1"/>
    <col min="26" max="26" width="22" style="1" customWidth="1"/>
    <col min="27" max="27" width="19.44140625" style="1" bestFit="1" customWidth="1"/>
    <col min="28" max="28" width="19.88671875" style="1" bestFit="1" customWidth="1"/>
    <col min="29" max="29" width="17.5546875" style="1" customWidth="1"/>
    <col min="30" max="30" width="18.88671875" style="1" bestFit="1" customWidth="1"/>
    <col min="31" max="31" width="14.44140625" style="1" customWidth="1"/>
    <col min="32" max="32" width="20.44140625" style="1" bestFit="1" customWidth="1"/>
    <col min="33" max="33" width="19.33203125" style="1" customWidth="1"/>
    <col min="34" max="34" width="16.33203125" style="1" customWidth="1"/>
    <col min="35" max="35" width="15.33203125" style="1" customWidth="1"/>
    <col min="36" max="36" width="18.6640625" style="1" bestFit="1" customWidth="1"/>
    <col min="37" max="37" width="14.109375" style="1" bestFit="1" customWidth="1"/>
    <col min="38" max="38" width="14.33203125" style="1" customWidth="1"/>
    <col min="39" max="39" width="13.6640625" style="1" customWidth="1"/>
    <col min="40" max="40" width="14.109375" style="1" bestFit="1" customWidth="1"/>
    <col min="41" max="41" width="13.44140625" style="1" bestFit="1" customWidth="1"/>
    <col min="42" max="42" width="14.5546875" style="1" customWidth="1"/>
    <col min="43" max="43" width="11.6640625" style="1" customWidth="1"/>
    <col min="44" max="44" width="14.109375" style="1" bestFit="1" customWidth="1"/>
    <col min="45" max="45" width="14" style="1" bestFit="1" customWidth="1"/>
    <col min="46" max="46" width="13.33203125" style="1" bestFit="1" customWidth="1"/>
    <col min="47" max="47" width="12.5546875" style="1" customWidth="1"/>
    <col min="48" max="48" width="15.33203125" style="1" customWidth="1"/>
    <col min="49" max="49" width="16.33203125" style="1" customWidth="1"/>
    <col min="50" max="50" width="14.44140625" style="1" customWidth="1"/>
    <col min="51" max="16384" width="9.109375" style="1"/>
  </cols>
  <sheetData>
    <row r="2" spans="2:41" ht="16.2" thickBot="1" x14ac:dyDescent="0.35"/>
    <row r="3" spans="2:41" ht="12.75" customHeight="1" thickBot="1" x14ac:dyDescent="0.35">
      <c r="C3" s="284" t="s">
        <v>0</v>
      </c>
      <c r="D3" s="285"/>
      <c r="E3" s="285"/>
      <c r="F3" s="285"/>
      <c r="G3" s="285"/>
      <c r="H3" s="285"/>
      <c r="I3" s="285"/>
      <c r="J3" s="285"/>
      <c r="K3" s="286"/>
      <c r="L3" s="274">
        <v>2014</v>
      </c>
      <c r="M3" s="275"/>
      <c r="N3" s="276"/>
      <c r="O3" s="274">
        <v>2015</v>
      </c>
      <c r="P3" s="275"/>
      <c r="Q3" s="276"/>
      <c r="R3" s="274">
        <v>2016</v>
      </c>
      <c r="S3" s="275"/>
      <c r="T3" s="276"/>
      <c r="U3" s="274">
        <v>2017</v>
      </c>
      <c r="V3" s="275"/>
      <c r="W3" s="276"/>
      <c r="X3" s="274">
        <v>2018</v>
      </c>
      <c r="Y3" s="275"/>
      <c r="Z3" s="276"/>
      <c r="AA3" s="274">
        <v>2019</v>
      </c>
      <c r="AB3" s="275"/>
      <c r="AC3" s="276"/>
      <c r="AD3" s="274">
        <v>2020</v>
      </c>
      <c r="AE3" s="275"/>
      <c r="AF3" s="276"/>
      <c r="AG3" s="274">
        <v>2021</v>
      </c>
      <c r="AH3" s="275"/>
      <c r="AI3" s="276"/>
      <c r="AJ3" s="274">
        <v>2022</v>
      </c>
      <c r="AK3" s="275"/>
      <c r="AL3" s="276"/>
    </row>
    <row r="4" spans="2:41" s="8" customFormat="1" ht="49.5" customHeight="1" x14ac:dyDescent="0.3">
      <c r="B4" s="256"/>
      <c r="C4" s="312" t="s">
        <v>1</v>
      </c>
      <c r="D4" s="289" t="s">
        <v>2</v>
      </c>
      <c r="E4" s="289" t="s">
        <v>3</v>
      </c>
      <c r="F4" s="289" t="s">
        <v>4</v>
      </c>
      <c r="G4" s="289" t="s">
        <v>5</v>
      </c>
      <c r="H4" s="291" t="s">
        <v>6</v>
      </c>
      <c r="I4" s="291" t="s">
        <v>7</v>
      </c>
      <c r="J4" s="310" t="s">
        <v>8</v>
      </c>
      <c r="K4" s="310" t="s">
        <v>9</v>
      </c>
      <c r="L4" s="277" t="s">
        <v>10</v>
      </c>
      <c r="M4" s="278"/>
      <c r="N4" s="6" t="s">
        <v>11</v>
      </c>
      <c r="O4" s="277" t="s">
        <v>10</v>
      </c>
      <c r="P4" s="278"/>
      <c r="Q4" s="6" t="s">
        <v>11</v>
      </c>
      <c r="R4" s="277" t="s">
        <v>10</v>
      </c>
      <c r="S4" s="278"/>
      <c r="T4" s="6" t="s">
        <v>11</v>
      </c>
      <c r="U4" s="277" t="s">
        <v>10</v>
      </c>
      <c r="V4" s="278"/>
      <c r="W4" s="6" t="s">
        <v>11</v>
      </c>
      <c r="X4" s="277" t="s">
        <v>10</v>
      </c>
      <c r="Y4" s="278"/>
      <c r="Z4" s="6" t="s">
        <v>11</v>
      </c>
      <c r="AA4" s="277" t="s">
        <v>10</v>
      </c>
      <c r="AB4" s="278"/>
      <c r="AC4" s="6" t="s">
        <v>11</v>
      </c>
      <c r="AD4" s="277" t="s">
        <v>10</v>
      </c>
      <c r="AE4" s="278"/>
      <c r="AF4" s="6" t="s">
        <v>11</v>
      </c>
      <c r="AG4" s="277" t="s">
        <v>10</v>
      </c>
      <c r="AH4" s="278"/>
      <c r="AI4" s="6" t="s">
        <v>11</v>
      </c>
      <c r="AJ4" s="277" t="s">
        <v>10</v>
      </c>
      <c r="AK4" s="278"/>
      <c r="AL4" s="6" t="s">
        <v>11</v>
      </c>
    </row>
    <row r="5" spans="2:41" s="8" customFormat="1" ht="15" customHeight="1" x14ac:dyDescent="0.3">
      <c r="B5" s="256" t="s">
        <v>12</v>
      </c>
      <c r="C5" s="313"/>
      <c r="D5" s="290"/>
      <c r="E5" s="290"/>
      <c r="F5" s="290"/>
      <c r="G5" s="290"/>
      <c r="H5" s="292"/>
      <c r="I5" s="292"/>
      <c r="J5" s="311"/>
      <c r="K5" s="311"/>
      <c r="L5" s="9" t="s">
        <v>13</v>
      </c>
      <c r="M5" s="9" t="s">
        <v>14</v>
      </c>
      <c r="N5" s="6"/>
      <c r="O5" s="9" t="s">
        <v>13</v>
      </c>
      <c r="P5" s="9" t="s">
        <v>14</v>
      </c>
      <c r="Q5" s="10"/>
      <c r="R5" s="9" t="s">
        <v>13</v>
      </c>
      <c r="S5" s="9" t="s">
        <v>14</v>
      </c>
      <c r="T5" s="10"/>
      <c r="U5" s="9" t="s">
        <v>13</v>
      </c>
      <c r="V5" s="9" t="s">
        <v>14</v>
      </c>
      <c r="W5" s="10"/>
      <c r="X5" s="9" t="s">
        <v>13</v>
      </c>
      <c r="Y5" s="9" t="s">
        <v>14</v>
      </c>
      <c r="Z5" s="10"/>
      <c r="AA5" s="9" t="s">
        <v>13</v>
      </c>
      <c r="AB5" s="9" t="s">
        <v>14</v>
      </c>
      <c r="AC5" s="10"/>
      <c r="AD5" s="9" t="s">
        <v>13</v>
      </c>
      <c r="AE5" s="9" t="s">
        <v>14</v>
      </c>
      <c r="AF5" s="10"/>
      <c r="AG5" s="9" t="s">
        <v>13</v>
      </c>
      <c r="AH5" s="9" t="s">
        <v>14</v>
      </c>
      <c r="AI5" s="10"/>
      <c r="AJ5" s="9" t="s">
        <v>13</v>
      </c>
      <c r="AK5" s="9" t="s">
        <v>14</v>
      </c>
      <c r="AL5" s="10"/>
    </row>
    <row r="6" spans="2:41" s="20" customFormat="1" ht="31.2" x14ac:dyDescent="0.3">
      <c r="B6" s="257">
        <v>37437</v>
      </c>
      <c r="C6" s="11" t="s">
        <v>15</v>
      </c>
      <c r="D6" s="12" t="s">
        <v>16</v>
      </c>
      <c r="E6" s="12" t="s">
        <v>17</v>
      </c>
      <c r="F6" s="12" t="s">
        <v>18</v>
      </c>
      <c r="G6" s="13">
        <v>40000000</v>
      </c>
      <c r="H6" s="12">
        <v>10</v>
      </c>
      <c r="I6" s="14">
        <v>20000000</v>
      </c>
      <c r="J6" s="15">
        <v>43427945</v>
      </c>
      <c r="K6" s="16">
        <v>100</v>
      </c>
      <c r="L6" s="17">
        <v>85</v>
      </c>
      <c r="M6" s="17">
        <v>626</v>
      </c>
      <c r="N6" s="13">
        <v>4000000</v>
      </c>
      <c r="O6" s="18">
        <v>110</v>
      </c>
      <c r="P6" s="18">
        <v>626</v>
      </c>
      <c r="Q6" s="19">
        <v>4000000</v>
      </c>
      <c r="R6" s="18">
        <v>0</v>
      </c>
      <c r="S6" s="18">
        <v>581</v>
      </c>
      <c r="T6" s="19">
        <v>4000000</v>
      </c>
      <c r="U6" s="18">
        <v>0</v>
      </c>
      <c r="V6" s="239">
        <v>616</v>
      </c>
      <c r="W6" s="229">
        <v>4000000</v>
      </c>
      <c r="X6" s="239">
        <v>0</v>
      </c>
      <c r="Y6" s="239">
        <v>615</v>
      </c>
      <c r="Z6" s="229">
        <v>4000000</v>
      </c>
      <c r="AA6" s="23">
        <v>0</v>
      </c>
      <c r="AB6" s="239">
        <v>606</v>
      </c>
      <c r="AC6" s="229">
        <v>4000000</v>
      </c>
      <c r="AD6" s="23">
        <v>85</v>
      </c>
      <c r="AE6" s="239">
        <v>626</v>
      </c>
      <c r="AF6" s="229">
        <v>4000000</v>
      </c>
      <c r="AG6" s="23">
        <v>148</v>
      </c>
      <c r="AH6" s="239">
        <v>626</v>
      </c>
      <c r="AI6" s="229">
        <v>4000000</v>
      </c>
      <c r="AJ6" s="23">
        <v>0</v>
      </c>
      <c r="AK6" s="239">
        <v>588</v>
      </c>
      <c r="AL6" s="229">
        <v>4000000</v>
      </c>
      <c r="AM6" s="249"/>
    </row>
    <row r="7" spans="2:41" s="20" customFormat="1" ht="31.2" x14ac:dyDescent="0.3">
      <c r="B7" s="257">
        <v>38421</v>
      </c>
      <c r="C7" s="127" t="s">
        <v>19</v>
      </c>
      <c r="D7" s="21" t="s">
        <v>16</v>
      </c>
      <c r="E7" s="21" t="s">
        <v>17</v>
      </c>
      <c r="F7" s="21" t="s">
        <v>18</v>
      </c>
      <c r="G7" s="13">
        <v>40000000</v>
      </c>
      <c r="H7" s="12">
        <v>10</v>
      </c>
      <c r="I7" s="14">
        <v>20000000</v>
      </c>
      <c r="J7" s="15">
        <v>50124187</v>
      </c>
      <c r="K7" s="16">
        <v>100</v>
      </c>
      <c r="L7" s="17"/>
      <c r="M7" s="17"/>
      <c r="N7" s="13"/>
      <c r="O7" s="22">
        <v>593</v>
      </c>
      <c r="P7" s="23">
        <v>0</v>
      </c>
      <c r="Q7" s="24">
        <v>4000000</v>
      </c>
      <c r="R7" s="22">
        <v>516</v>
      </c>
      <c r="S7" s="23">
        <v>0</v>
      </c>
      <c r="T7" s="24">
        <v>3612000</v>
      </c>
      <c r="U7" s="23">
        <v>449</v>
      </c>
      <c r="V7" s="23">
        <v>0</v>
      </c>
      <c r="W7" s="229">
        <v>3143000</v>
      </c>
      <c r="X7" s="23">
        <v>424</v>
      </c>
      <c r="Y7" s="23">
        <v>0</v>
      </c>
      <c r="Z7" s="229">
        <v>2968000</v>
      </c>
      <c r="AA7" s="23"/>
      <c r="AB7" s="23"/>
      <c r="AC7" s="229"/>
      <c r="AD7" s="23"/>
      <c r="AE7" s="23"/>
      <c r="AF7" s="229"/>
      <c r="AG7" s="23"/>
      <c r="AH7" s="23"/>
      <c r="AI7" s="14"/>
      <c r="AJ7" s="23"/>
      <c r="AK7" s="23"/>
      <c r="AL7" s="14"/>
      <c r="AM7" s="249"/>
    </row>
    <row r="8" spans="2:41" s="20" customFormat="1" x14ac:dyDescent="0.3">
      <c r="B8" s="257">
        <v>37595</v>
      </c>
      <c r="C8" s="127" t="s">
        <v>20</v>
      </c>
      <c r="D8" s="21" t="s">
        <v>21</v>
      </c>
      <c r="E8" s="21" t="s">
        <v>22</v>
      </c>
      <c r="F8" s="21" t="s">
        <v>18</v>
      </c>
      <c r="G8" s="13">
        <v>29120000</v>
      </c>
      <c r="H8" s="12">
        <v>10</v>
      </c>
      <c r="I8" s="14">
        <v>20000000</v>
      </c>
      <c r="J8" s="15">
        <v>54524554</v>
      </c>
      <c r="K8" s="16">
        <v>100</v>
      </c>
      <c r="L8" s="17"/>
      <c r="M8" s="17"/>
      <c r="N8" s="13"/>
      <c r="O8" s="23">
        <v>57</v>
      </c>
      <c r="P8" s="23">
        <v>364</v>
      </c>
      <c r="Q8" s="14">
        <v>2912000</v>
      </c>
      <c r="R8" s="23">
        <v>107</v>
      </c>
      <c r="S8" s="23">
        <v>364</v>
      </c>
      <c r="T8" s="14">
        <v>2912000</v>
      </c>
      <c r="U8" s="23">
        <v>189</v>
      </c>
      <c r="V8" s="23">
        <v>364</v>
      </c>
      <c r="W8" s="229">
        <v>2912000</v>
      </c>
      <c r="X8" s="23">
        <v>234</v>
      </c>
      <c r="Y8" s="23">
        <v>364</v>
      </c>
      <c r="Z8" s="229">
        <v>2912000</v>
      </c>
      <c r="AA8" s="23">
        <v>34</v>
      </c>
      <c r="AB8" s="23">
        <v>364</v>
      </c>
      <c r="AC8" s="229">
        <v>2912000</v>
      </c>
      <c r="AD8" s="23">
        <v>291</v>
      </c>
      <c r="AE8" s="23">
        <v>364</v>
      </c>
      <c r="AF8" s="229">
        <v>2912000</v>
      </c>
      <c r="AG8" s="23">
        <v>210</v>
      </c>
      <c r="AH8" s="23">
        <v>364</v>
      </c>
      <c r="AI8" s="229">
        <v>2912000</v>
      </c>
      <c r="AJ8" s="23">
        <v>274</v>
      </c>
      <c r="AK8" s="23">
        <v>364</v>
      </c>
      <c r="AL8" s="229">
        <v>2912000</v>
      </c>
      <c r="AM8" s="249"/>
      <c r="AN8" s="250"/>
      <c r="AO8" s="250"/>
    </row>
    <row r="9" spans="2:41" s="20" customFormat="1" ht="46.8" x14ac:dyDescent="0.3">
      <c r="B9" s="257">
        <v>37302</v>
      </c>
      <c r="C9" s="127" t="s">
        <v>23</v>
      </c>
      <c r="D9" s="21" t="s">
        <v>24</v>
      </c>
      <c r="E9" s="21" t="s">
        <v>22</v>
      </c>
      <c r="F9" s="21" t="s">
        <v>18</v>
      </c>
      <c r="G9" s="13">
        <v>22890000</v>
      </c>
      <c r="H9" s="12">
        <v>10</v>
      </c>
      <c r="I9" s="14">
        <v>20000000</v>
      </c>
      <c r="J9" s="15">
        <v>34494019</v>
      </c>
      <c r="K9" s="16">
        <v>100</v>
      </c>
      <c r="L9" s="17"/>
      <c r="M9" s="17"/>
      <c r="N9" s="13"/>
      <c r="O9" s="23">
        <v>146</v>
      </c>
      <c r="P9" s="23">
        <v>184</v>
      </c>
      <c r="Q9" s="14">
        <v>2289000</v>
      </c>
      <c r="R9" s="23">
        <v>160</v>
      </c>
      <c r="S9" s="23">
        <v>184</v>
      </c>
      <c r="T9" s="14">
        <v>2289000</v>
      </c>
      <c r="U9" s="23">
        <v>176</v>
      </c>
      <c r="V9" s="23">
        <v>184</v>
      </c>
      <c r="W9" s="229">
        <v>2289000</v>
      </c>
      <c r="X9" s="23">
        <v>143</v>
      </c>
      <c r="Y9" s="23">
        <v>184</v>
      </c>
      <c r="Z9" s="229">
        <v>2289000</v>
      </c>
      <c r="AA9" s="23">
        <v>151</v>
      </c>
      <c r="AB9" s="23">
        <v>184</v>
      </c>
      <c r="AC9" s="229">
        <v>2289000</v>
      </c>
      <c r="AD9" s="23">
        <v>159</v>
      </c>
      <c r="AE9" s="23">
        <v>184</v>
      </c>
      <c r="AF9" s="229">
        <v>2289000</v>
      </c>
      <c r="AG9" s="23">
        <v>173</v>
      </c>
      <c r="AH9" s="23">
        <v>184</v>
      </c>
      <c r="AI9" s="229">
        <v>2289000</v>
      </c>
      <c r="AJ9" s="23">
        <v>197</v>
      </c>
      <c r="AK9" s="23">
        <v>184</v>
      </c>
      <c r="AL9" s="229">
        <v>2289000</v>
      </c>
      <c r="AM9" s="249"/>
    </row>
    <row r="10" spans="2:41" s="20" customFormat="1" x14ac:dyDescent="0.3">
      <c r="B10" s="257">
        <v>38125</v>
      </c>
      <c r="C10" s="128" t="s">
        <v>25</v>
      </c>
      <c r="D10" s="25" t="s">
        <v>26</v>
      </c>
      <c r="E10" s="25" t="s">
        <v>27</v>
      </c>
      <c r="F10" s="21" t="s">
        <v>18</v>
      </c>
      <c r="G10" s="13">
        <v>40000000</v>
      </c>
      <c r="H10" s="12">
        <v>10</v>
      </c>
      <c r="I10" s="14">
        <v>20000000</v>
      </c>
      <c r="J10" s="15">
        <v>46251182</v>
      </c>
      <c r="K10" s="16">
        <v>100</v>
      </c>
      <c r="L10" s="17"/>
      <c r="M10" s="17"/>
      <c r="N10" s="13"/>
      <c r="O10" s="23">
        <v>0</v>
      </c>
      <c r="P10" s="23">
        <v>983</v>
      </c>
      <c r="Q10" s="14">
        <v>4000000</v>
      </c>
      <c r="R10" s="23">
        <v>0</v>
      </c>
      <c r="S10" s="23">
        <v>971</v>
      </c>
      <c r="T10" s="14">
        <v>4000000</v>
      </c>
      <c r="U10" s="18">
        <v>0</v>
      </c>
      <c r="V10" s="239">
        <v>983</v>
      </c>
      <c r="W10" s="229">
        <v>4000000</v>
      </c>
      <c r="X10" s="239">
        <v>2</v>
      </c>
      <c r="Y10" s="239">
        <v>983</v>
      </c>
      <c r="Z10" s="229">
        <v>4000000</v>
      </c>
      <c r="AA10" s="239"/>
      <c r="AB10" s="239"/>
      <c r="AC10" s="229"/>
      <c r="AD10" s="239"/>
      <c r="AE10" s="239"/>
      <c r="AF10" s="229"/>
      <c r="AG10" s="239"/>
      <c r="AH10" s="239"/>
      <c r="AI10" s="229"/>
      <c r="AJ10" s="239"/>
      <c r="AK10" s="239"/>
      <c r="AL10" s="229"/>
      <c r="AM10" s="249"/>
    </row>
    <row r="11" spans="2:41" s="20" customFormat="1" ht="31.2" x14ac:dyDescent="0.3">
      <c r="B11" s="257">
        <v>37327</v>
      </c>
      <c r="C11" s="129" t="s">
        <v>28</v>
      </c>
      <c r="D11" s="26" t="s">
        <v>29</v>
      </c>
      <c r="E11" s="26" t="s">
        <v>30</v>
      </c>
      <c r="F11" s="21" t="s">
        <v>18</v>
      </c>
      <c r="G11" s="13">
        <v>32400000</v>
      </c>
      <c r="H11" s="12">
        <v>10</v>
      </c>
      <c r="I11" s="14">
        <v>20000000</v>
      </c>
      <c r="J11" s="15">
        <v>35879363</v>
      </c>
      <c r="K11" s="16">
        <v>100</v>
      </c>
      <c r="L11" s="17"/>
      <c r="M11" s="17"/>
      <c r="N11" s="13"/>
      <c r="O11" s="23"/>
      <c r="P11" s="23"/>
      <c r="Q11" s="14"/>
      <c r="R11" s="23">
        <v>419</v>
      </c>
      <c r="S11" s="23">
        <v>0</v>
      </c>
      <c r="T11" s="14">
        <v>3240000</v>
      </c>
      <c r="U11" s="23">
        <v>386</v>
      </c>
      <c r="V11" s="23">
        <v>0</v>
      </c>
      <c r="W11" s="229">
        <v>3088000</v>
      </c>
      <c r="X11" s="23"/>
      <c r="Y11" s="23"/>
      <c r="Z11" s="229"/>
      <c r="AA11" s="23"/>
      <c r="AB11" s="23"/>
      <c r="AC11" s="229"/>
      <c r="AD11" s="23"/>
      <c r="AE11" s="23"/>
      <c r="AF11" s="229"/>
      <c r="AG11" s="23"/>
      <c r="AH11" s="23"/>
      <c r="AI11" s="229"/>
      <c r="AJ11" s="23"/>
      <c r="AK11" s="23"/>
      <c r="AL11" s="229"/>
      <c r="AM11" s="249"/>
    </row>
    <row r="12" spans="2:41" s="20" customFormat="1" x14ac:dyDescent="0.3">
      <c r="B12" s="257">
        <v>38338</v>
      </c>
      <c r="C12" s="130" t="s">
        <v>31</v>
      </c>
      <c r="D12" s="25" t="s">
        <v>32</v>
      </c>
      <c r="E12" s="25" t="s">
        <v>33</v>
      </c>
      <c r="F12" s="21" t="s">
        <v>18</v>
      </c>
      <c r="G12" s="13">
        <v>33810000</v>
      </c>
      <c r="H12" s="12">
        <v>10</v>
      </c>
      <c r="I12" s="14">
        <v>20000000</v>
      </c>
      <c r="J12" s="15">
        <v>45356401</v>
      </c>
      <c r="K12" s="16">
        <v>100</v>
      </c>
      <c r="L12" s="17"/>
      <c r="M12" s="17"/>
      <c r="N12" s="13"/>
      <c r="O12" s="23"/>
      <c r="P12" s="23"/>
      <c r="Q12" s="14"/>
      <c r="R12" s="23">
        <v>95</v>
      </c>
      <c r="S12" s="23">
        <v>386</v>
      </c>
      <c r="T12" s="14">
        <v>3367000</v>
      </c>
      <c r="U12" s="23">
        <v>59</v>
      </c>
      <c r="V12" s="23">
        <v>386</v>
      </c>
      <c r="W12" s="229">
        <v>3115000</v>
      </c>
      <c r="X12" s="23">
        <v>2</v>
      </c>
      <c r="Y12" s="23">
        <v>386</v>
      </c>
      <c r="Z12" s="229">
        <v>2716000</v>
      </c>
      <c r="AA12" s="23"/>
      <c r="AB12" s="23"/>
      <c r="AC12" s="229"/>
      <c r="AD12" s="23">
        <v>113</v>
      </c>
      <c r="AE12" s="23">
        <v>250</v>
      </c>
      <c r="AF12" s="229">
        <v>1750000</v>
      </c>
      <c r="AG12" s="23">
        <v>93</v>
      </c>
      <c r="AH12" s="23">
        <v>250</v>
      </c>
      <c r="AI12" s="229">
        <v>1500000</v>
      </c>
      <c r="AJ12" s="23"/>
      <c r="AK12" s="23"/>
      <c r="AL12" s="229"/>
      <c r="AM12" s="249"/>
    </row>
    <row r="13" spans="2:41" s="20" customFormat="1" x14ac:dyDescent="0.3">
      <c r="B13" s="257">
        <v>37309</v>
      </c>
      <c r="C13" s="198" t="s">
        <v>34</v>
      </c>
      <c r="D13" s="27" t="s">
        <v>35</v>
      </c>
      <c r="E13" s="27" t="s">
        <v>36</v>
      </c>
      <c r="F13" s="21" t="s">
        <v>18</v>
      </c>
      <c r="G13" s="13">
        <v>18780000</v>
      </c>
      <c r="H13" s="12">
        <v>10</v>
      </c>
      <c r="I13" s="14">
        <v>20000000</v>
      </c>
      <c r="J13" s="15">
        <v>27682373</v>
      </c>
      <c r="K13" s="16">
        <v>100</v>
      </c>
      <c r="L13" s="17"/>
      <c r="M13" s="17"/>
      <c r="N13" s="13"/>
      <c r="O13" s="23"/>
      <c r="P13" s="23"/>
      <c r="Q13" s="14"/>
      <c r="R13" s="23">
        <v>108</v>
      </c>
      <c r="S13" s="23">
        <v>205</v>
      </c>
      <c r="T13" s="14">
        <v>1878000</v>
      </c>
      <c r="U13" s="18">
        <v>146</v>
      </c>
      <c r="V13" s="239">
        <v>205</v>
      </c>
      <c r="W13" s="229">
        <v>1878000</v>
      </c>
      <c r="X13" s="239">
        <v>179</v>
      </c>
      <c r="Y13" s="239">
        <v>205</v>
      </c>
      <c r="Z13" s="229">
        <v>1878000</v>
      </c>
      <c r="AA13" s="239">
        <v>147</v>
      </c>
      <c r="AB13" s="239">
        <v>205</v>
      </c>
      <c r="AC13" s="229">
        <v>1878000</v>
      </c>
      <c r="AD13" s="239">
        <v>162</v>
      </c>
      <c r="AE13" s="239">
        <v>205</v>
      </c>
      <c r="AF13" s="229">
        <v>1878000</v>
      </c>
      <c r="AG13" s="239">
        <v>155</v>
      </c>
      <c r="AH13" s="239">
        <v>205</v>
      </c>
      <c r="AI13" s="229">
        <v>1878000</v>
      </c>
      <c r="AJ13" s="239"/>
      <c r="AK13" s="239"/>
      <c r="AL13" s="229"/>
      <c r="AM13" s="249"/>
    </row>
    <row r="14" spans="2:41" s="20" customFormat="1" x14ac:dyDescent="0.3">
      <c r="B14" s="257">
        <v>37303</v>
      </c>
      <c r="C14" s="198" t="s">
        <v>37</v>
      </c>
      <c r="D14" s="27" t="s">
        <v>38</v>
      </c>
      <c r="E14" s="27" t="s">
        <v>17</v>
      </c>
      <c r="F14" s="21" t="s">
        <v>18</v>
      </c>
      <c r="G14" s="13">
        <v>40000000</v>
      </c>
      <c r="H14" s="12">
        <v>10</v>
      </c>
      <c r="I14" s="14">
        <v>20000000</v>
      </c>
      <c r="J14" s="15">
        <v>48137693</v>
      </c>
      <c r="K14" s="16">
        <v>100</v>
      </c>
      <c r="L14" s="17"/>
      <c r="M14" s="17"/>
      <c r="N14" s="13"/>
      <c r="O14" s="23"/>
      <c r="P14" s="23"/>
      <c r="Q14" s="14"/>
      <c r="R14" s="23">
        <v>0</v>
      </c>
      <c r="S14" s="23">
        <v>1000</v>
      </c>
      <c r="T14" s="14">
        <v>4000000</v>
      </c>
      <c r="U14" s="22"/>
      <c r="V14" s="240"/>
      <c r="W14" s="240"/>
      <c r="X14" s="240">
        <v>48</v>
      </c>
      <c r="Y14" s="23">
        <v>1000</v>
      </c>
      <c r="Z14" s="229">
        <v>4000000</v>
      </c>
      <c r="AA14" s="23">
        <v>1175</v>
      </c>
      <c r="AB14" s="23">
        <v>1000</v>
      </c>
      <c r="AC14" s="229">
        <v>4000000</v>
      </c>
      <c r="AD14" s="23">
        <v>1371</v>
      </c>
      <c r="AE14" s="23">
        <v>1000</v>
      </c>
      <c r="AF14" s="229">
        <v>4000000</v>
      </c>
      <c r="AG14" s="23">
        <v>1006</v>
      </c>
      <c r="AH14" s="23">
        <v>1000</v>
      </c>
      <c r="AI14" s="229">
        <v>4000000</v>
      </c>
      <c r="AJ14" s="23">
        <v>863</v>
      </c>
      <c r="AK14" s="23">
        <v>1000</v>
      </c>
      <c r="AL14" s="229">
        <v>4000000</v>
      </c>
      <c r="AM14" s="249"/>
    </row>
    <row r="15" spans="2:41" s="56" customFormat="1" ht="31.2" x14ac:dyDescent="0.3">
      <c r="B15" s="225">
        <v>38394</v>
      </c>
      <c r="C15" s="58" t="s">
        <v>39</v>
      </c>
      <c r="D15" s="57" t="s">
        <v>40</v>
      </c>
      <c r="E15" s="57" t="s">
        <v>27</v>
      </c>
      <c r="F15" s="21" t="s">
        <v>18</v>
      </c>
      <c r="G15" s="13">
        <v>40000000</v>
      </c>
      <c r="H15" s="12">
        <v>10</v>
      </c>
      <c r="I15" s="14">
        <v>20000000</v>
      </c>
      <c r="J15" s="15">
        <v>53602584</v>
      </c>
      <c r="K15" s="16">
        <v>100</v>
      </c>
      <c r="L15" s="17"/>
      <c r="M15" s="17"/>
      <c r="N15" s="13"/>
      <c r="O15" s="23"/>
      <c r="P15" s="23"/>
      <c r="Q15" s="14"/>
      <c r="R15" s="23"/>
      <c r="S15" s="23"/>
      <c r="T15" s="14"/>
      <c r="U15" s="23">
        <v>109</v>
      </c>
      <c r="V15" s="23">
        <v>716</v>
      </c>
      <c r="W15" s="229">
        <v>4000000</v>
      </c>
      <c r="X15" s="23">
        <v>82</v>
      </c>
      <c r="Y15" s="23">
        <v>716</v>
      </c>
      <c r="Z15" s="229">
        <v>4000000</v>
      </c>
      <c r="AA15" s="23">
        <v>0</v>
      </c>
      <c r="AB15" s="23">
        <v>716</v>
      </c>
      <c r="AC15" s="229">
        <v>4000000</v>
      </c>
      <c r="AD15" s="23">
        <v>299</v>
      </c>
      <c r="AE15" s="23">
        <v>716</v>
      </c>
      <c r="AF15" s="229">
        <v>4000000</v>
      </c>
      <c r="AG15" s="23">
        <v>201</v>
      </c>
      <c r="AH15" s="23">
        <v>716</v>
      </c>
      <c r="AI15" s="229">
        <v>4000000</v>
      </c>
      <c r="AJ15" s="23">
        <v>139</v>
      </c>
      <c r="AK15" s="23">
        <v>716</v>
      </c>
      <c r="AL15" s="229">
        <v>4000000</v>
      </c>
      <c r="AM15" s="249"/>
    </row>
    <row r="16" spans="2:41" s="56" customFormat="1" ht="28.8" x14ac:dyDescent="0.3">
      <c r="B16" s="225">
        <v>37546</v>
      </c>
      <c r="C16" s="198" t="s">
        <v>41</v>
      </c>
      <c r="D16" s="57" t="s">
        <v>42</v>
      </c>
      <c r="E16" s="57" t="s">
        <v>43</v>
      </c>
      <c r="F16" s="21" t="s">
        <v>18</v>
      </c>
      <c r="G16" s="13">
        <v>7910000</v>
      </c>
      <c r="H16" s="12">
        <v>10</v>
      </c>
      <c r="I16" s="14">
        <v>20000000</v>
      </c>
      <c r="J16" s="15">
        <v>65617853</v>
      </c>
      <c r="K16" s="16">
        <v>100</v>
      </c>
      <c r="L16" s="17"/>
      <c r="M16" s="17"/>
      <c r="N16" s="13"/>
      <c r="O16" s="23"/>
      <c r="P16" s="23"/>
      <c r="Q16" s="14"/>
      <c r="R16" s="23"/>
      <c r="S16" s="23"/>
      <c r="T16" s="14"/>
      <c r="U16" s="23">
        <v>5</v>
      </c>
      <c r="V16" s="23">
        <v>108</v>
      </c>
      <c r="W16" s="238">
        <v>791000</v>
      </c>
      <c r="X16" s="23">
        <v>5</v>
      </c>
      <c r="Y16" s="23">
        <v>108</v>
      </c>
      <c r="Z16" s="229">
        <v>791000</v>
      </c>
      <c r="AA16" s="23">
        <v>5</v>
      </c>
      <c r="AB16" s="23">
        <v>108</v>
      </c>
      <c r="AC16" s="229">
        <v>791000</v>
      </c>
      <c r="AD16" s="23">
        <v>9</v>
      </c>
      <c r="AE16" s="23">
        <v>108</v>
      </c>
      <c r="AF16" s="229">
        <v>791000</v>
      </c>
      <c r="AG16" s="23">
        <v>10</v>
      </c>
      <c r="AH16" s="23">
        <v>108</v>
      </c>
      <c r="AI16" s="229">
        <v>791000</v>
      </c>
      <c r="AJ16" s="23">
        <v>21</v>
      </c>
      <c r="AK16" s="23">
        <v>108</v>
      </c>
      <c r="AL16" s="229">
        <v>791000</v>
      </c>
      <c r="AM16" s="249"/>
    </row>
    <row r="17" spans="2:49" s="56" customFormat="1" x14ac:dyDescent="0.3">
      <c r="B17" s="225">
        <v>37447</v>
      </c>
      <c r="C17" s="135" t="s">
        <v>46</v>
      </c>
      <c r="D17" s="57" t="s">
        <v>47</v>
      </c>
      <c r="E17" s="57" t="s">
        <v>27</v>
      </c>
      <c r="F17" s="21" t="s">
        <v>18</v>
      </c>
      <c r="G17" s="13">
        <v>24500000</v>
      </c>
      <c r="H17" s="12">
        <v>10</v>
      </c>
      <c r="I17" s="14">
        <v>20000000</v>
      </c>
      <c r="J17" s="15">
        <v>63348143</v>
      </c>
      <c r="K17" s="16">
        <v>100</v>
      </c>
      <c r="L17" s="17"/>
      <c r="M17" s="17"/>
      <c r="N17" s="13"/>
      <c r="O17" s="23"/>
      <c r="P17" s="23"/>
      <c r="Q17" s="14"/>
      <c r="R17" s="23"/>
      <c r="S17" s="23"/>
      <c r="T17" s="229"/>
      <c r="U17" s="23">
        <v>33</v>
      </c>
      <c r="V17" s="23">
        <v>350</v>
      </c>
      <c r="W17" s="229">
        <v>2450000</v>
      </c>
      <c r="X17" s="23">
        <v>45</v>
      </c>
      <c r="Y17" s="23">
        <v>350</v>
      </c>
      <c r="Z17" s="229">
        <v>2450000</v>
      </c>
      <c r="AA17" s="23">
        <v>0</v>
      </c>
      <c r="AB17" s="23">
        <v>330</v>
      </c>
      <c r="AC17" s="229">
        <v>2310000</v>
      </c>
      <c r="AD17" s="23">
        <v>0</v>
      </c>
      <c r="AE17" s="23">
        <v>300</v>
      </c>
      <c r="AF17" s="229">
        <v>2100000</v>
      </c>
      <c r="AG17" s="23">
        <v>0</v>
      </c>
      <c r="AH17" s="23">
        <v>295</v>
      </c>
      <c r="AI17" s="229">
        <v>2065000</v>
      </c>
      <c r="AJ17" s="23"/>
      <c r="AK17" s="23"/>
      <c r="AL17" s="229"/>
      <c r="AM17" s="249"/>
    </row>
    <row r="18" spans="2:49" s="56" customFormat="1" x14ac:dyDescent="0.3">
      <c r="B18" s="225">
        <v>37790</v>
      </c>
      <c r="C18" s="135" t="s">
        <v>44</v>
      </c>
      <c r="D18" s="57" t="s">
        <v>45</v>
      </c>
      <c r="E18" s="57" t="s">
        <v>45</v>
      </c>
      <c r="F18" s="21" t="s">
        <v>18</v>
      </c>
      <c r="G18" s="13">
        <v>26460000</v>
      </c>
      <c r="H18" s="12">
        <v>10</v>
      </c>
      <c r="I18" s="14">
        <v>20000000</v>
      </c>
      <c r="J18" s="15">
        <v>35681327</v>
      </c>
      <c r="K18" s="16">
        <v>100</v>
      </c>
      <c r="L18" s="17"/>
      <c r="M18" s="17"/>
      <c r="N18" s="13"/>
      <c r="O18" s="23"/>
      <c r="P18" s="23"/>
      <c r="Q18" s="14"/>
      <c r="R18" s="23"/>
      <c r="S18" s="23"/>
      <c r="T18" s="14"/>
      <c r="U18" s="23"/>
      <c r="V18" s="23"/>
      <c r="W18" s="238"/>
      <c r="X18" s="23">
        <v>162</v>
      </c>
      <c r="Y18" s="23">
        <v>275</v>
      </c>
      <c r="Z18" s="229">
        <v>2622000</v>
      </c>
      <c r="AA18" s="23">
        <v>133</v>
      </c>
      <c r="AB18" s="23">
        <v>275</v>
      </c>
      <c r="AC18" s="229">
        <v>2448000</v>
      </c>
      <c r="AD18" s="23">
        <v>114</v>
      </c>
      <c r="AE18" s="23">
        <v>275</v>
      </c>
      <c r="AF18" s="229">
        <v>2334000</v>
      </c>
      <c r="AG18" s="23">
        <v>83</v>
      </c>
      <c r="AH18" s="23">
        <v>275</v>
      </c>
      <c r="AI18" s="229">
        <v>2148000</v>
      </c>
      <c r="AJ18" s="23"/>
      <c r="AK18" s="23"/>
      <c r="AL18" s="229"/>
      <c r="AM18" s="249"/>
    </row>
    <row r="19" spans="2:49" s="224" customFormat="1" x14ac:dyDescent="0.3">
      <c r="B19" s="225">
        <v>37904</v>
      </c>
      <c r="C19" s="233" t="s">
        <v>365</v>
      </c>
      <c r="D19" s="226" t="s">
        <v>366</v>
      </c>
      <c r="E19" s="226" t="s">
        <v>27</v>
      </c>
      <c r="F19" s="21" t="s">
        <v>18</v>
      </c>
      <c r="G19" s="227">
        <v>31665050</v>
      </c>
      <c r="H19" s="228">
        <v>10</v>
      </c>
      <c r="I19" s="14">
        <v>20000000</v>
      </c>
      <c r="J19" s="230">
        <v>31665050</v>
      </c>
      <c r="K19" s="231">
        <v>100</v>
      </c>
      <c r="L19" s="232"/>
      <c r="M19" s="232"/>
      <c r="N19" s="227"/>
      <c r="O19" s="23"/>
      <c r="P19" s="23"/>
      <c r="Q19" s="229"/>
      <c r="R19" s="23"/>
      <c r="S19" s="23"/>
      <c r="T19" s="229"/>
      <c r="U19" s="23"/>
      <c r="V19" s="23"/>
      <c r="W19" s="229"/>
      <c r="X19" s="23"/>
      <c r="Y19" s="23"/>
      <c r="Z19" s="229"/>
      <c r="AA19" s="23">
        <v>488</v>
      </c>
      <c r="AB19" s="23">
        <v>0</v>
      </c>
      <c r="AC19" s="229">
        <v>3166505</v>
      </c>
      <c r="AD19" s="23"/>
      <c r="AE19" s="23"/>
      <c r="AF19" s="229"/>
      <c r="AG19" s="23"/>
      <c r="AH19" s="23"/>
      <c r="AI19" s="229"/>
      <c r="AJ19" s="23"/>
      <c r="AK19" s="23"/>
      <c r="AL19" s="229"/>
      <c r="AM19" s="249"/>
    </row>
    <row r="20" spans="2:49" s="224" customFormat="1" x14ac:dyDescent="0.3">
      <c r="B20" s="225">
        <v>38382</v>
      </c>
      <c r="C20" s="233" t="s">
        <v>384</v>
      </c>
      <c r="D20" s="226" t="s">
        <v>17</v>
      </c>
      <c r="E20" s="226" t="s">
        <v>17</v>
      </c>
      <c r="F20" s="21" t="s">
        <v>18</v>
      </c>
      <c r="G20" s="227">
        <v>30540000</v>
      </c>
      <c r="H20" s="228">
        <v>10</v>
      </c>
      <c r="I20" s="14">
        <v>20000000</v>
      </c>
      <c r="J20" s="230">
        <v>65116036</v>
      </c>
      <c r="K20" s="231">
        <v>100</v>
      </c>
      <c r="L20" s="232"/>
      <c r="M20" s="232"/>
      <c r="N20" s="227"/>
      <c r="O20" s="23"/>
      <c r="P20" s="23"/>
      <c r="Q20" s="229"/>
      <c r="R20" s="23"/>
      <c r="S20" s="23"/>
      <c r="T20" s="229"/>
      <c r="U20" s="23"/>
      <c r="V20" s="23"/>
      <c r="W20" s="229"/>
      <c r="X20" s="23"/>
      <c r="Y20" s="23"/>
      <c r="Z20" s="229"/>
      <c r="AA20" s="23">
        <v>106</v>
      </c>
      <c r="AB20" s="23">
        <v>401</v>
      </c>
      <c r="AC20" s="229">
        <v>3042000</v>
      </c>
      <c r="AD20" s="23">
        <v>123</v>
      </c>
      <c r="AE20" s="23">
        <v>401</v>
      </c>
      <c r="AF20" s="229">
        <v>3054000</v>
      </c>
      <c r="AG20" s="23">
        <v>126</v>
      </c>
      <c r="AH20" s="23">
        <v>401</v>
      </c>
      <c r="AI20" s="229">
        <v>3054000</v>
      </c>
      <c r="AJ20" s="23"/>
      <c r="AK20" s="23"/>
      <c r="AL20" s="229"/>
      <c r="AM20" s="270"/>
    </row>
    <row r="21" spans="2:49" s="224" customFormat="1" x14ac:dyDescent="0.3">
      <c r="B21" s="225">
        <v>37482</v>
      </c>
      <c r="C21" s="233" t="s">
        <v>403</v>
      </c>
      <c r="D21" s="226" t="s">
        <v>404</v>
      </c>
      <c r="E21" s="226" t="s">
        <v>30</v>
      </c>
      <c r="F21" s="21" t="s">
        <v>18</v>
      </c>
      <c r="G21" s="227">
        <v>6780000</v>
      </c>
      <c r="H21" s="228">
        <v>10</v>
      </c>
      <c r="I21" s="14">
        <v>20000000</v>
      </c>
      <c r="J21" s="230">
        <v>21053344</v>
      </c>
      <c r="K21" s="231">
        <v>100</v>
      </c>
      <c r="L21" s="232"/>
      <c r="M21" s="232"/>
      <c r="N21" s="227"/>
      <c r="O21" s="23"/>
      <c r="P21" s="23"/>
      <c r="Q21" s="229"/>
      <c r="R21" s="23"/>
      <c r="S21" s="23"/>
      <c r="T21" s="229"/>
      <c r="U21" s="23"/>
      <c r="V21" s="23"/>
      <c r="W21" s="229"/>
      <c r="X21" s="23"/>
      <c r="Y21" s="23"/>
      <c r="Z21" s="229"/>
      <c r="AA21" s="23"/>
      <c r="AB21" s="23"/>
      <c r="AC21" s="229"/>
      <c r="AD21" s="23">
        <v>10</v>
      </c>
      <c r="AE21" s="23">
        <v>101</v>
      </c>
      <c r="AF21" s="229">
        <v>666000</v>
      </c>
      <c r="AG21" s="23">
        <v>3</v>
      </c>
      <c r="AH21" s="23">
        <v>101</v>
      </c>
      <c r="AI21" s="229">
        <v>624000</v>
      </c>
      <c r="AJ21" s="23">
        <v>0</v>
      </c>
      <c r="AK21" s="23">
        <v>101</v>
      </c>
      <c r="AL21" s="229">
        <v>606000</v>
      </c>
      <c r="AM21" s="270"/>
    </row>
    <row r="22" spans="2:49" s="28" customFormat="1" x14ac:dyDescent="0.3">
      <c r="B22" s="258"/>
      <c r="C22" s="29" t="str">
        <f>CONCATENATE(COUNTA(C6:C21) &amp; " Projects")</f>
        <v>16 Projects</v>
      </c>
      <c r="D22" s="30"/>
      <c r="E22" s="30"/>
      <c r="F22" s="31"/>
      <c r="G22" s="32">
        <f>SUM(G6:G21)</f>
        <v>464855050</v>
      </c>
      <c r="H22" s="33"/>
      <c r="I22" s="32">
        <f>SUM(I6:I21)</f>
        <v>320000000</v>
      </c>
      <c r="J22" s="32">
        <f>SUM(J6:J21)</f>
        <v>721962054</v>
      </c>
      <c r="K22" s="34"/>
      <c r="L22" s="34">
        <f t="shared" ref="L22:AL22" si="0">SUM(L6:L21)</f>
        <v>85</v>
      </c>
      <c r="M22" s="34">
        <f t="shared" si="0"/>
        <v>626</v>
      </c>
      <c r="N22" s="32">
        <f t="shared" si="0"/>
        <v>4000000</v>
      </c>
      <c r="O22" s="34">
        <f t="shared" si="0"/>
        <v>906</v>
      </c>
      <c r="P22" s="34">
        <f t="shared" si="0"/>
        <v>2157</v>
      </c>
      <c r="Q22" s="32">
        <f t="shared" si="0"/>
        <v>17201000</v>
      </c>
      <c r="R22" s="34">
        <f t="shared" si="0"/>
        <v>1405</v>
      </c>
      <c r="S22" s="34">
        <f t="shared" si="0"/>
        <v>3691</v>
      </c>
      <c r="T22" s="32">
        <f t="shared" si="0"/>
        <v>29298000</v>
      </c>
      <c r="U22" s="34">
        <f t="shared" si="0"/>
        <v>1552</v>
      </c>
      <c r="V22" s="34">
        <f t="shared" si="0"/>
        <v>3912</v>
      </c>
      <c r="W22" s="32">
        <f t="shared" si="0"/>
        <v>31666000</v>
      </c>
      <c r="X22" s="34">
        <f t="shared" si="0"/>
        <v>1326</v>
      </c>
      <c r="Y22" s="34">
        <f t="shared" si="0"/>
        <v>5186</v>
      </c>
      <c r="Z22" s="32">
        <f t="shared" si="0"/>
        <v>34626000</v>
      </c>
      <c r="AA22" s="34">
        <f t="shared" si="0"/>
        <v>2239</v>
      </c>
      <c r="AB22" s="34">
        <f t="shared" si="0"/>
        <v>4189</v>
      </c>
      <c r="AC22" s="32">
        <f t="shared" si="0"/>
        <v>30836505</v>
      </c>
      <c r="AD22" s="34">
        <f t="shared" si="0"/>
        <v>2736</v>
      </c>
      <c r="AE22" s="34">
        <f t="shared" si="0"/>
        <v>4530</v>
      </c>
      <c r="AF22" s="32">
        <f t="shared" si="0"/>
        <v>29774000</v>
      </c>
      <c r="AG22" s="34">
        <f t="shared" si="0"/>
        <v>2208</v>
      </c>
      <c r="AH22" s="34">
        <f t="shared" si="0"/>
        <v>4525</v>
      </c>
      <c r="AI22" s="32">
        <f t="shared" si="0"/>
        <v>29261000</v>
      </c>
      <c r="AJ22" s="34">
        <f t="shared" si="0"/>
        <v>1494</v>
      </c>
      <c r="AK22" s="34">
        <f t="shared" si="0"/>
        <v>3061</v>
      </c>
      <c r="AL22" s="32">
        <f t="shared" si="0"/>
        <v>18598000</v>
      </c>
    </row>
    <row r="23" spans="2:49" s="28" customFormat="1" ht="85.2" customHeight="1" x14ac:dyDescent="0.3">
      <c r="B23" s="258"/>
      <c r="C23" s="216"/>
      <c r="D23" s="36"/>
      <c r="E23" s="36"/>
      <c r="F23" s="35"/>
      <c r="G23" s="37"/>
      <c r="H23" s="36"/>
      <c r="I23" s="36"/>
      <c r="J23" s="36"/>
      <c r="K23" s="37"/>
      <c r="L23" s="37"/>
      <c r="M23" s="38"/>
      <c r="N23" s="38"/>
      <c r="O23" s="37"/>
      <c r="P23" s="38"/>
      <c r="Q23" s="39"/>
      <c r="Y23" s="43"/>
      <c r="Z23" s="152"/>
      <c r="AC23" s="152"/>
      <c r="AE23" s="152"/>
      <c r="AH23" s="152"/>
      <c r="AI23" s="152"/>
      <c r="AK23" s="40" t="s">
        <v>48</v>
      </c>
      <c r="AL23" s="41">
        <f>SUM(N22,Q22,T22,W22, Z22,AC22,AF22,AI22,AL22)</f>
        <v>225260505</v>
      </c>
      <c r="AM23" s="252"/>
      <c r="AN23" s="152"/>
      <c r="AO23" s="152"/>
    </row>
    <row r="24" spans="2:49" s="28" customFormat="1" ht="16.2" thickBot="1" x14ac:dyDescent="0.35">
      <c r="B24" s="258"/>
      <c r="C24" s="216"/>
      <c r="D24" s="36"/>
      <c r="E24" s="36"/>
      <c r="F24" s="35"/>
      <c r="G24" s="37"/>
      <c r="H24" s="36"/>
      <c r="I24" s="36"/>
      <c r="J24" s="36"/>
      <c r="K24" s="37"/>
      <c r="L24" s="37"/>
      <c r="M24" s="37"/>
      <c r="N24" s="38"/>
      <c r="O24" s="38"/>
      <c r="P24" s="37"/>
      <c r="Q24" s="38"/>
      <c r="R24" s="38"/>
      <c r="S24" s="37"/>
      <c r="T24" s="38"/>
      <c r="U24" s="38"/>
      <c r="V24" s="37"/>
      <c r="W24" s="42"/>
      <c r="X24" s="43"/>
      <c r="Y24" s="43"/>
      <c r="Z24" s="42"/>
    </row>
    <row r="25" spans="2:49" ht="12.75" customHeight="1" thickBot="1" x14ac:dyDescent="0.35">
      <c r="C25" s="284" t="s">
        <v>49</v>
      </c>
      <c r="D25" s="285"/>
      <c r="E25" s="285"/>
      <c r="F25" s="285"/>
      <c r="G25" s="285"/>
      <c r="H25" s="285"/>
      <c r="I25" s="285"/>
      <c r="J25" s="285"/>
      <c r="K25" s="285"/>
      <c r="L25" s="286"/>
      <c r="M25" s="274">
        <v>2014</v>
      </c>
      <c r="N25" s="275"/>
      <c r="O25" s="275"/>
      <c r="P25" s="276"/>
      <c r="Q25" s="274">
        <v>2015</v>
      </c>
      <c r="R25" s="275"/>
      <c r="S25" s="275"/>
      <c r="T25" s="276"/>
      <c r="U25" s="274">
        <v>2016</v>
      </c>
      <c r="V25" s="275"/>
      <c r="W25" s="275"/>
      <c r="X25" s="276"/>
      <c r="Y25" s="274">
        <v>2017</v>
      </c>
      <c r="Z25" s="275"/>
      <c r="AA25" s="275"/>
      <c r="AB25" s="276"/>
      <c r="AC25" s="274">
        <v>2018</v>
      </c>
      <c r="AD25" s="275"/>
      <c r="AE25" s="275"/>
      <c r="AF25" s="276"/>
      <c r="AG25" s="274">
        <v>2019</v>
      </c>
      <c r="AH25" s="275"/>
      <c r="AI25" s="275"/>
      <c r="AJ25" s="276"/>
      <c r="AK25" s="274">
        <v>2020</v>
      </c>
      <c r="AL25" s="275"/>
      <c r="AM25" s="275"/>
      <c r="AN25" s="276"/>
      <c r="AO25" s="274">
        <v>2021</v>
      </c>
      <c r="AP25" s="275"/>
      <c r="AQ25" s="275"/>
      <c r="AR25" s="276"/>
      <c r="AS25" s="274">
        <v>2022</v>
      </c>
      <c r="AT25" s="275"/>
      <c r="AU25" s="275"/>
      <c r="AV25" s="276"/>
    </row>
    <row r="26" spans="2:49" s="8" customFormat="1" ht="49.5" customHeight="1" x14ac:dyDescent="0.3">
      <c r="B26" s="256"/>
      <c r="C26" s="312" t="s">
        <v>1</v>
      </c>
      <c r="D26" s="289" t="s">
        <v>2</v>
      </c>
      <c r="E26" s="289" t="s">
        <v>3</v>
      </c>
      <c r="F26" s="289" t="s">
        <v>4</v>
      </c>
      <c r="G26" s="289" t="s">
        <v>5</v>
      </c>
      <c r="H26" s="291" t="s">
        <v>6</v>
      </c>
      <c r="I26" s="291" t="s">
        <v>7</v>
      </c>
      <c r="J26" s="310" t="s">
        <v>8</v>
      </c>
      <c r="K26" s="277" t="s">
        <v>50</v>
      </c>
      <c r="L26" s="278"/>
      <c r="M26" s="277" t="s">
        <v>10</v>
      </c>
      <c r="N26" s="278"/>
      <c r="O26" s="157" t="s">
        <v>51</v>
      </c>
      <c r="P26" s="156" t="s">
        <v>11</v>
      </c>
      <c r="Q26" s="277" t="s">
        <v>10</v>
      </c>
      <c r="R26" s="278"/>
      <c r="S26" s="157" t="s">
        <v>51</v>
      </c>
      <c r="T26" s="156" t="s">
        <v>11</v>
      </c>
      <c r="U26" s="277" t="s">
        <v>10</v>
      </c>
      <c r="V26" s="278"/>
      <c r="W26" s="157" t="s">
        <v>51</v>
      </c>
      <c r="X26" s="156" t="s">
        <v>11</v>
      </c>
      <c r="Y26" s="277" t="s">
        <v>10</v>
      </c>
      <c r="Z26" s="278"/>
      <c r="AA26" s="157" t="s">
        <v>51</v>
      </c>
      <c r="AB26" s="156" t="s">
        <v>11</v>
      </c>
      <c r="AC26" s="277" t="s">
        <v>10</v>
      </c>
      <c r="AD26" s="278"/>
      <c r="AE26" s="157" t="s">
        <v>51</v>
      </c>
      <c r="AF26" s="156" t="s">
        <v>11</v>
      </c>
      <c r="AG26" s="277" t="s">
        <v>10</v>
      </c>
      <c r="AH26" s="278"/>
      <c r="AI26" s="157" t="s">
        <v>51</v>
      </c>
      <c r="AJ26" s="156" t="s">
        <v>11</v>
      </c>
      <c r="AK26" s="277" t="s">
        <v>10</v>
      </c>
      <c r="AL26" s="278"/>
      <c r="AM26" s="157" t="s">
        <v>51</v>
      </c>
      <c r="AN26" s="156" t="s">
        <v>11</v>
      </c>
      <c r="AO26" s="277" t="s">
        <v>10</v>
      </c>
      <c r="AP26" s="278"/>
      <c r="AQ26" s="157" t="s">
        <v>51</v>
      </c>
      <c r="AR26" s="156" t="s">
        <v>11</v>
      </c>
      <c r="AS26" s="277" t="s">
        <v>10</v>
      </c>
      <c r="AT26" s="278"/>
      <c r="AU26" s="157" t="s">
        <v>51</v>
      </c>
      <c r="AV26" s="266" t="s">
        <v>11</v>
      </c>
    </row>
    <row r="27" spans="2:49" s="8" customFormat="1" ht="15" customHeight="1" x14ac:dyDescent="0.3">
      <c r="B27" s="256"/>
      <c r="C27" s="313"/>
      <c r="D27" s="290"/>
      <c r="E27" s="290"/>
      <c r="F27" s="290"/>
      <c r="G27" s="290"/>
      <c r="H27" s="292"/>
      <c r="I27" s="292"/>
      <c r="J27" s="311"/>
      <c r="K27" s="9" t="s">
        <v>13</v>
      </c>
      <c r="L27" s="9" t="s">
        <v>14</v>
      </c>
      <c r="M27" s="9" t="s">
        <v>13</v>
      </c>
      <c r="N27" s="9" t="s">
        <v>14</v>
      </c>
      <c r="O27" s="44"/>
      <c r="P27" s="6"/>
      <c r="Q27" s="9" t="s">
        <v>13</v>
      </c>
      <c r="R27" s="9" t="s">
        <v>14</v>
      </c>
      <c r="S27" s="44"/>
      <c r="T27" s="6"/>
      <c r="U27" s="9" t="s">
        <v>13</v>
      </c>
      <c r="V27" s="9" t="s">
        <v>14</v>
      </c>
      <c r="W27" s="44"/>
      <c r="X27" s="6"/>
      <c r="Y27" s="123" t="s">
        <v>13</v>
      </c>
      <c r="Z27" s="123" t="s">
        <v>14</v>
      </c>
      <c r="AA27" s="44"/>
      <c r="AB27" s="6"/>
      <c r="AC27" s="123" t="s">
        <v>13</v>
      </c>
      <c r="AD27" s="123" t="s">
        <v>14</v>
      </c>
      <c r="AE27" s="44"/>
      <c r="AF27" s="6"/>
      <c r="AG27" s="123" t="s">
        <v>13</v>
      </c>
      <c r="AH27" s="123" t="s">
        <v>14</v>
      </c>
      <c r="AI27" s="44"/>
      <c r="AJ27" s="6"/>
      <c r="AK27" s="9" t="s">
        <v>13</v>
      </c>
      <c r="AL27" s="9" t="s">
        <v>14</v>
      </c>
      <c r="AM27" s="207"/>
      <c r="AN27" s="10"/>
      <c r="AO27" s="9" t="s">
        <v>13</v>
      </c>
      <c r="AP27" s="9" t="s">
        <v>14</v>
      </c>
      <c r="AQ27" s="207"/>
      <c r="AR27" s="10"/>
      <c r="AS27" s="9" t="s">
        <v>13</v>
      </c>
      <c r="AT27" s="9" t="s">
        <v>14</v>
      </c>
      <c r="AU27" s="207"/>
      <c r="AV27" s="10"/>
    </row>
    <row r="28" spans="2:49" s="20" customFormat="1" x14ac:dyDescent="0.3">
      <c r="B28" s="257">
        <v>38627</v>
      </c>
      <c r="C28" s="45" t="s">
        <v>52</v>
      </c>
      <c r="D28" s="46" t="s">
        <v>36</v>
      </c>
      <c r="E28" s="46" t="s">
        <v>36</v>
      </c>
      <c r="F28" s="46" t="s">
        <v>53</v>
      </c>
      <c r="G28" s="47">
        <v>6035000</v>
      </c>
      <c r="H28" s="48">
        <v>10</v>
      </c>
      <c r="I28" s="47">
        <v>233467</v>
      </c>
      <c r="J28" s="49">
        <v>496776</v>
      </c>
      <c r="K28" s="50">
        <v>19</v>
      </c>
      <c r="L28" s="50">
        <v>27</v>
      </c>
      <c r="M28" s="51">
        <v>21</v>
      </c>
      <c r="N28" s="52">
        <v>50</v>
      </c>
      <c r="O28" s="53">
        <v>40000</v>
      </c>
      <c r="P28" s="53">
        <v>603500</v>
      </c>
      <c r="Q28" s="50">
        <v>24</v>
      </c>
      <c r="R28" s="50">
        <v>50</v>
      </c>
      <c r="S28" s="53">
        <v>40000</v>
      </c>
      <c r="T28" s="53">
        <v>603500</v>
      </c>
      <c r="U28" s="50">
        <v>8</v>
      </c>
      <c r="V28" s="50">
        <v>50</v>
      </c>
      <c r="W28" s="53">
        <v>41063</v>
      </c>
      <c r="X28" s="53">
        <v>493000</v>
      </c>
      <c r="Y28" s="50">
        <v>10</v>
      </c>
      <c r="Z28" s="50">
        <v>50</v>
      </c>
      <c r="AA28" s="53">
        <v>45000</v>
      </c>
      <c r="AB28" s="53">
        <v>510000</v>
      </c>
      <c r="AC28" s="50">
        <v>8</v>
      </c>
      <c r="AD28" s="50">
        <v>50</v>
      </c>
      <c r="AE28" s="53">
        <v>40504.33</v>
      </c>
      <c r="AF28" s="53">
        <v>493000</v>
      </c>
      <c r="AG28" s="221"/>
      <c r="AH28" s="221"/>
      <c r="AI28" s="241"/>
      <c r="AJ28" s="241"/>
      <c r="AK28" s="232"/>
      <c r="AL28" s="232"/>
      <c r="AM28" s="241"/>
      <c r="AN28" s="229"/>
      <c r="AO28" s="232"/>
      <c r="AP28" s="232"/>
      <c r="AQ28" s="241"/>
      <c r="AR28" s="229"/>
      <c r="AS28" s="232"/>
      <c r="AT28" s="232"/>
      <c r="AU28" s="241"/>
      <c r="AV28" s="229"/>
      <c r="AW28" s="250"/>
    </row>
    <row r="29" spans="2:49" s="20" customFormat="1" x14ac:dyDescent="0.3">
      <c r="B29" s="257">
        <v>40148</v>
      </c>
      <c r="C29" s="45" t="s">
        <v>54</v>
      </c>
      <c r="D29" s="12" t="s">
        <v>36</v>
      </c>
      <c r="E29" s="12" t="s">
        <v>36</v>
      </c>
      <c r="F29" s="46" t="s">
        <v>53</v>
      </c>
      <c r="G29" s="14">
        <v>39990000</v>
      </c>
      <c r="H29" s="48">
        <v>10</v>
      </c>
      <c r="I29" s="47">
        <v>3295413</v>
      </c>
      <c r="J29" s="54">
        <v>9223626</v>
      </c>
      <c r="K29" s="50">
        <v>19</v>
      </c>
      <c r="L29" s="50">
        <v>27</v>
      </c>
      <c r="M29" s="23"/>
      <c r="N29" s="23"/>
      <c r="O29" s="23"/>
      <c r="P29" s="23"/>
      <c r="Q29" s="17">
        <v>31</v>
      </c>
      <c r="R29" s="50">
        <v>353</v>
      </c>
      <c r="S29" s="53">
        <v>50132</v>
      </c>
      <c r="T29" s="14">
        <v>4059000</v>
      </c>
      <c r="U29" s="17">
        <v>108</v>
      </c>
      <c r="V29" s="50">
        <v>353</v>
      </c>
      <c r="W29" s="53">
        <v>51990</v>
      </c>
      <c r="X29" s="14">
        <v>4444000</v>
      </c>
      <c r="Y29" s="17">
        <v>135</v>
      </c>
      <c r="Z29" s="50">
        <v>353</v>
      </c>
      <c r="AA29" s="53">
        <v>53300</v>
      </c>
      <c r="AB29" s="14">
        <v>4579000</v>
      </c>
      <c r="AC29" s="17">
        <v>139</v>
      </c>
      <c r="AD29" s="50">
        <v>353</v>
      </c>
      <c r="AE29" s="53">
        <v>54165</v>
      </c>
      <c r="AF29" s="14">
        <v>4594000</v>
      </c>
      <c r="AG29" s="232">
        <v>154</v>
      </c>
      <c r="AH29" s="221">
        <v>353</v>
      </c>
      <c r="AI29" s="241">
        <v>54746.25</v>
      </c>
      <c r="AJ29" s="229">
        <v>4674000</v>
      </c>
      <c r="AK29" s="232">
        <v>172</v>
      </c>
      <c r="AL29" s="232">
        <v>353</v>
      </c>
      <c r="AM29" s="241">
        <v>61866.69</v>
      </c>
      <c r="AN29" s="229">
        <v>4764000</v>
      </c>
      <c r="AO29" s="232">
        <v>173</v>
      </c>
      <c r="AP29" s="232">
        <v>353</v>
      </c>
      <c r="AQ29" s="241">
        <v>61140</v>
      </c>
      <c r="AR29" s="229">
        <v>4769000</v>
      </c>
      <c r="AS29" s="232"/>
      <c r="AT29" s="232"/>
      <c r="AU29" s="241"/>
      <c r="AV29" s="229"/>
      <c r="AW29" s="250"/>
    </row>
    <row r="30" spans="2:49" s="20" customFormat="1" x14ac:dyDescent="0.3">
      <c r="B30" s="257">
        <v>39415</v>
      </c>
      <c r="C30" s="45" t="s">
        <v>55</v>
      </c>
      <c r="D30" s="12" t="s">
        <v>21</v>
      </c>
      <c r="E30" s="12" t="s">
        <v>22</v>
      </c>
      <c r="F30" s="46" t="s">
        <v>53</v>
      </c>
      <c r="G30" s="14">
        <v>4970000</v>
      </c>
      <c r="H30" s="48">
        <v>10</v>
      </c>
      <c r="I30" s="47">
        <v>676080</v>
      </c>
      <c r="J30" s="54">
        <v>704391</v>
      </c>
      <c r="K30" s="50">
        <v>35</v>
      </c>
      <c r="L30" s="50">
        <v>50</v>
      </c>
      <c r="M30" s="23"/>
      <c r="N30" s="23"/>
      <c r="O30" s="23"/>
      <c r="P30" s="23"/>
      <c r="Q30" s="17">
        <v>71</v>
      </c>
      <c r="R30" s="55">
        <v>0</v>
      </c>
      <c r="S30" s="53">
        <v>46500</v>
      </c>
      <c r="T30" s="14">
        <v>497000</v>
      </c>
      <c r="U30" s="17">
        <v>64</v>
      </c>
      <c r="V30" s="55">
        <v>0</v>
      </c>
      <c r="W30" s="53">
        <v>48000</v>
      </c>
      <c r="X30" s="14">
        <v>448000</v>
      </c>
      <c r="Y30" s="22"/>
      <c r="Z30" s="22"/>
      <c r="AA30" s="24"/>
      <c r="AB30" s="24"/>
      <c r="AC30" s="22"/>
      <c r="AD30" s="22"/>
      <c r="AE30" s="24"/>
      <c r="AF30" s="24"/>
      <c r="AG30" s="240"/>
      <c r="AH30" s="240"/>
      <c r="AI30" s="243"/>
      <c r="AJ30" s="243"/>
      <c r="AK30" s="232"/>
      <c r="AL30" s="232"/>
      <c r="AM30" s="241"/>
      <c r="AN30" s="229"/>
      <c r="AO30" s="232"/>
      <c r="AP30" s="232"/>
      <c r="AQ30" s="241"/>
      <c r="AR30" s="229"/>
      <c r="AS30" s="232"/>
      <c r="AT30" s="232"/>
      <c r="AU30" s="241"/>
      <c r="AV30" s="229"/>
      <c r="AW30" s="250"/>
    </row>
    <row r="31" spans="2:49" s="56" customFormat="1" x14ac:dyDescent="0.3">
      <c r="B31" s="225">
        <v>39552</v>
      </c>
      <c r="C31" s="45" t="s">
        <v>56</v>
      </c>
      <c r="D31" s="12" t="s">
        <v>21</v>
      </c>
      <c r="E31" s="12" t="s">
        <v>22</v>
      </c>
      <c r="F31" s="46" t="s">
        <v>53</v>
      </c>
      <c r="G31" s="14">
        <v>5920000</v>
      </c>
      <c r="H31" s="48">
        <v>10</v>
      </c>
      <c r="I31" s="47">
        <v>960000</v>
      </c>
      <c r="J31" s="54">
        <v>1409800</v>
      </c>
      <c r="K31" s="50">
        <v>25</v>
      </c>
      <c r="L31" s="50">
        <v>35</v>
      </c>
      <c r="M31" s="23"/>
      <c r="N31" s="23"/>
      <c r="O31" s="23"/>
      <c r="P31" s="23"/>
      <c r="Q31" s="17">
        <v>74</v>
      </c>
      <c r="R31" s="55">
        <v>0</v>
      </c>
      <c r="S31" s="53">
        <v>145000</v>
      </c>
      <c r="T31" s="14">
        <v>592000</v>
      </c>
      <c r="U31" s="17">
        <v>74</v>
      </c>
      <c r="V31" s="55">
        <v>0</v>
      </c>
      <c r="W31" s="53">
        <v>150000</v>
      </c>
      <c r="X31" s="14">
        <v>592000</v>
      </c>
      <c r="Y31" s="22">
        <v>96</v>
      </c>
      <c r="Z31" s="22">
        <v>0</v>
      </c>
      <c r="AA31" s="24">
        <v>140685</v>
      </c>
      <c r="AB31" s="24">
        <v>592000</v>
      </c>
      <c r="AC31" s="22"/>
      <c r="AD31" s="22"/>
      <c r="AE31" s="24"/>
      <c r="AF31" s="24"/>
      <c r="AG31" s="240"/>
      <c r="AH31" s="240"/>
      <c r="AI31" s="243"/>
      <c r="AJ31" s="243"/>
      <c r="AK31" s="232"/>
      <c r="AL31" s="232"/>
      <c r="AM31" s="241"/>
      <c r="AN31" s="229"/>
      <c r="AO31" s="232"/>
      <c r="AP31" s="232"/>
      <c r="AQ31" s="241"/>
      <c r="AR31" s="229"/>
      <c r="AS31" s="232"/>
      <c r="AT31" s="232"/>
      <c r="AU31" s="241"/>
      <c r="AV31" s="229"/>
      <c r="AW31" s="250"/>
    </row>
    <row r="32" spans="2:49" s="20" customFormat="1" ht="31.2" x14ac:dyDescent="0.3">
      <c r="B32" s="257">
        <v>38727</v>
      </c>
      <c r="C32" s="45" t="s">
        <v>57</v>
      </c>
      <c r="D32" s="12" t="s">
        <v>21</v>
      </c>
      <c r="E32" s="12" t="s">
        <v>22</v>
      </c>
      <c r="F32" s="46" t="s">
        <v>53</v>
      </c>
      <c r="G32" s="14">
        <v>24722500</v>
      </c>
      <c r="H32" s="48">
        <v>10</v>
      </c>
      <c r="I32" s="47">
        <v>3720000</v>
      </c>
      <c r="J32" s="54">
        <v>3790930</v>
      </c>
      <c r="K32" s="50">
        <v>35</v>
      </c>
      <c r="L32" s="17" t="s">
        <v>58</v>
      </c>
      <c r="M32" s="23"/>
      <c r="N32" s="23"/>
      <c r="O32" s="23"/>
      <c r="P32" s="23"/>
      <c r="Q32" s="17">
        <v>319</v>
      </c>
      <c r="R32" s="23">
        <v>0</v>
      </c>
      <c r="S32" s="53">
        <v>76500</v>
      </c>
      <c r="T32" s="14">
        <v>2472250</v>
      </c>
      <c r="U32" s="17">
        <v>344</v>
      </c>
      <c r="V32" s="23">
        <v>0</v>
      </c>
      <c r="W32" s="53">
        <v>80000</v>
      </c>
      <c r="X32" s="14">
        <v>2472250</v>
      </c>
      <c r="Y32" s="17">
        <v>337</v>
      </c>
      <c r="Z32" s="23">
        <v>0</v>
      </c>
      <c r="AA32" s="53">
        <v>86500</v>
      </c>
      <c r="AB32" s="14">
        <v>2472250</v>
      </c>
      <c r="AC32" s="17">
        <v>315</v>
      </c>
      <c r="AD32" s="23">
        <v>0</v>
      </c>
      <c r="AE32" s="53">
        <v>93750</v>
      </c>
      <c r="AF32" s="14">
        <v>2441250</v>
      </c>
      <c r="AG32" s="232">
        <v>321</v>
      </c>
      <c r="AH32" s="23">
        <v>0</v>
      </c>
      <c r="AI32" s="241">
        <v>94272.1</v>
      </c>
      <c r="AJ32" s="229">
        <v>2472250</v>
      </c>
      <c r="AK32" s="232">
        <v>348</v>
      </c>
      <c r="AL32" s="232">
        <v>0</v>
      </c>
      <c r="AM32" s="241">
        <v>102324.58</v>
      </c>
      <c r="AN32" s="229">
        <v>2472250</v>
      </c>
      <c r="AO32" s="232">
        <v>339</v>
      </c>
      <c r="AP32" s="232">
        <v>0</v>
      </c>
      <c r="AQ32" s="241">
        <v>113730</v>
      </c>
      <c r="AR32" s="229">
        <v>2472250</v>
      </c>
      <c r="AS32" s="232"/>
      <c r="AT32" s="232"/>
      <c r="AU32" s="241"/>
      <c r="AV32" s="229"/>
      <c r="AW32" s="250"/>
    </row>
    <row r="33" spans="2:49" s="20" customFormat="1" x14ac:dyDescent="0.3">
      <c r="B33" s="257">
        <v>39361</v>
      </c>
      <c r="C33" s="45" t="s">
        <v>59</v>
      </c>
      <c r="D33" s="12" t="s">
        <v>21</v>
      </c>
      <c r="E33" s="12" t="s">
        <v>22</v>
      </c>
      <c r="F33" s="46" t="s">
        <v>53</v>
      </c>
      <c r="G33" s="14">
        <v>2080000</v>
      </c>
      <c r="H33" s="48">
        <v>10</v>
      </c>
      <c r="I33" s="47">
        <v>345000</v>
      </c>
      <c r="J33" s="54">
        <v>892304</v>
      </c>
      <c r="K33" s="50">
        <v>25</v>
      </c>
      <c r="L33" s="17">
        <v>35</v>
      </c>
      <c r="M33" s="23"/>
      <c r="N33" s="23"/>
      <c r="O33" s="23"/>
      <c r="P33" s="23"/>
      <c r="Q33" s="17">
        <v>26</v>
      </c>
      <c r="R33" s="23">
        <v>0</v>
      </c>
      <c r="S33" s="53">
        <v>90903</v>
      </c>
      <c r="T33" s="14">
        <v>208000</v>
      </c>
      <c r="U33" s="17">
        <v>27</v>
      </c>
      <c r="V33" s="23">
        <v>0</v>
      </c>
      <c r="W33" s="53">
        <v>90700</v>
      </c>
      <c r="X33" s="14">
        <v>208000</v>
      </c>
      <c r="Y33" s="22">
        <v>26</v>
      </c>
      <c r="Z33" s="23">
        <v>0</v>
      </c>
      <c r="AA33" s="24">
        <v>112500</v>
      </c>
      <c r="AB33" s="24">
        <v>208000</v>
      </c>
      <c r="AC33" s="22">
        <v>26</v>
      </c>
      <c r="AD33" s="23">
        <v>0</v>
      </c>
      <c r="AE33" s="24">
        <v>104666.7</v>
      </c>
      <c r="AF33" s="24">
        <v>208000</v>
      </c>
      <c r="AG33" s="240">
        <v>30</v>
      </c>
      <c r="AH33" s="23">
        <v>0</v>
      </c>
      <c r="AI33" s="243">
        <v>123083</v>
      </c>
      <c r="AJ33" s="243">
        <v>208000</v>
      </c>
      <c r="AK33" s="232"/>
      <c r="AL33" s="232"/>
      <c r="AM33" s="241"/>
      <c r="AN33" s="229"/>
      <c r="AO33" s="232"/>
      <c r="AP33" s="232"/>
      <c r="AQ33" s="241"/>
      <c r="AR33" s="229"/>
      <c r="AS33" s="232"/>
      <c r="AT33" s="232"/>
      <c r="AU33" s="241"/>
      <c r="AV33" s="229"/>
      <c r="AW33" s="250"/>
    </row>
    <row r="34" spans="2:49" s="20" customFormat="1" ht="31.2" x14ac:dyDescent="0.3">
      <c r="B34" s="257">
        <v>39455</v>
      </c>
      <c r="C34" s="45" t="s">
        <v>60</v>
      </c>
      <c r="D34" s="12" t="s">
        <v>61</v>
      </c>
      <c r="E34" s="12" t="s">
        <v>62</v>
      </c>
      <c r="F34" s="46" t="s">
        <v>53</v>
      </c>
      <c r="G34" s="14">
        <v>8800000</v>
      </c>
      <c r="H34" s="48">
        <v>10</v>
      </c>
      <c r="I34" s="47">
        <v>2745840</v>
      </c>
      <c r="J34" s="54">
        <v>6655416</v>
      </c>
      <c r="K34" s="50">
        <v>25</v>
      </c>
      <c r="L34" s="50">
        <v>35</v>
      </c>
      <c r="M34" s="23"/>
      <c r="N34" s="23"/>
      <c r="O34" s="23"/>
      <c r="P34" s="23"/>
      <c r="Q34" s="17">
        <v>65</v>
      </c>
      <c r="R34" s="50">
        <v>310</v>
      </c>
      <c r="S34" s="53">
        <v>60840</v>
      </c>
      <c r="T34" s="14">
        <v>880000</v>
      </c>
      <c r="U34" s="17">
        <v>57</v>
      </c>
      <c r="V34" s="50">
        <v>310</v>
      </c>
      <c r="W34" s="53">
        <v>68513</v>
      </c>
      <c r="X34" s="14">
        <v>848000</v>
      </c>
      <c r="Y34" s="18">
        <v>39</v>
      </c>
      <c r="Z34" s="23">
        <v>310</v>
      </c>
      <c r="AA34" s="14">
        <v>75000</v>
      </c>
      <c r="AB34" s="14">
        <v>776000</v>
      </c>
      <c r="AC34" s="18">
        <v>7</v>
      </c>
      <c r="AD34" s="23">
        <v>310</v>
      </c>
      <c r="AE34" s="14">
        <v>86069</v>
      </c>
      <c r="AF34" s="14">
        <v>648000</v>
      </c>
      <c r="AG34" s="239"/>
      <c r="AH34" s="23"/>
      <c r="AI34" s="229"/>
      <c r="AJ34" s="229"/>
      <c r="AK34" s="232"/>
      <c r="AL34" s="232"/>
      <c r="AM34" s="241"/>
      <c r="AN34" s="229"/>
      <c r="AO34" s="232"/>
      <c r="AP34" s="232"/>
      <c r="AQ34" s="241"/>
      <c r="AR34" s="229"/>
      <c r="AS34" s="232"/>
      <c r="AT34" s="232"/>
      <c r="AU34" s="241"/>
      <c r="AV34" s="229"/>
      <c r="AW34" s="250"/>
    </row>
    <row r="35" spans="2:49" s="20" customFormat="1" x14ac:dyDescent="0.3">
      <c r="B35" s="257">
        <v>39470</v>
      </c>
      <c r="C35" s="45" t="s">
        <v>63</v>
      </c>
      <c r="D35" s="12" t="s">
        <v>64</v>
      </c>
      <c r="E35" s="12" t="s">
        <v>22</v>
      </c>
      <c r="F35" s="46" t="s">
        <v>53</v>
      </c>
      <c r="G35" s="14">
        <v>3000000</v>
      </c>
      <c r="H35" s="48">
        <v>10</v>
      </c>
      <c r="I35" s="47">
        <v>645640</v>
      </c>
      <c r="J35" s="54">
        <v>1579388</v>
      </c>
      <c r="K35" s="50">
        <v>35</v>
      </c>
      <c r="L35" s="50">
        <v>50</v>
      </c>
      <c r="M35" s="23"/>
      <c r="N35" s="23"/>
      <c r="O35" s="23"/>
      <c r="P35" s="23"/>
      <c r="Q35" s="17">
        <v>77</v>
      </c>
      <c r="R35" s="23">
        <v>0</v>
      </c>
      <c r="S35" s="53">
        <v>21840</v>
      </c>
      <c r="T35" s="14">
        <v>300000</v>
      </c>
      <c r="U35" s="17">
        <v>73</v>
      </c>
      <c r="V35" s="23">
        <v>0</v>
      </c>
      <c r="W35" s="53">
        <v>21840</v>
      </c>
      <c r="X35" s="14">
        <v>292000</v>
      </c>
      <c r="Y35" s="22">
        <v>62</v>
      </c>
      <c r="Z35" s="23">
        <v>0</v>
      </c>
      <c r="AA35" s="14">
        <v>22859</v>
      </c>
      <c r="AB35" s="14">
        <v>248000</v>
      </c>
      <c r="AC35" s="22">
        <v>60</v>
      </c>
      <c r="AD35" s="23">
        <v>0</v>
      </c>
      <c r="AE35" s="14">
        <v>25897</v>
      </c>
      <c r="AF35" s="14">
        <v>240000</v>
      </c>
      <c r="AG35" s="240">
        <v>62</v>
      </c>
      <c r="AH35" s="23">
        <v>0</v>
      </c>
      <c r="AI35" s="229">
        <v>27151.8</v>
      </c>
      <c r="AJ35" s="229">
        <v>248000</v>
      </c>
      <c r="AK35" s="232">
        <v>50</v>
      </c>
      <c r="AL35" s="232">
        <v>0</v>
      </c>
      <c r="AM35" s="241">
        <v>24960</v>
      </c>
      <c r="AN35" s="229">
        <v>180000</v>
      </c>
      <c r="AO35" s="232">
        <v>52</v>
      </c>
      <c r="AP35" s="232">
        <v>0</v>
      </c>
      <c r="AQ35" s="241">
        <v>32469</v>
      </c>
      <c r="AR35" s="229">
        <v>180000</v>
      </c>
      <c r="AS35" s="232">
        <v>45</v>
      </c>
      <c r="AT35" s="232">
        <v>0</v>
      </c>
      <c r="AU35" s="241">
        <v>32136</v>
      </c>
      <c r="AV35" s="229">
        <v>180000</v>
      </c>
      <c r="AW35" s="250"/>
    </row>
    <row r="36" spans="2:49" s="20" customFormat="1" x14ac:dyDescent="0.3">
      <c r="B36" s="257">
        <v>39748</v>
      </c>
      <c r="C36" s="45" t="s">
        <v>65</v>
      </c>
      <c r="D36" s="12" t="s">
        <v>21</v>
      </c>
      <c r="E36" s="12" t="s">
        <v>22</v>
      </c>
      <c r="F36" s="46" t="s">
        <v>53</v>
      </c>
      <c r="G36" s="14">
        <v>7130000</v>
      </c>
      <c r="H36" s="48">
        <v>10</v>
      </c>
      <c r="I36" s="47">
        <v>986480</v>
      </c>
      <c r="J36" s="54">
        <v>2668462</v>
      </c>
      <c r="K36" s="50">
        <v>25</v>
      </c>
      <c r="L36" s="50">
        <v>35</v>
      </c>
      <c r="M36" s="23"/>
      <c r="N36" s="23"/>
      <c r="O36" s="23"/>
      <c r="P36" s="23"/>
      <c r="Q36" s="17">
        <v>127</v>
      </c>
      <c r="R36" s="23">
        <v>0</v>
      </c>
      <c r="S36" s="53">
        <v>66603</v>
      </c>
      <c r="T36" s="14">
        <v>713000</v>
      </c>
      <c r="U36" s="17">
        <v>107</v>
      </c>
      <c r="V36" s="23">
        <v>0</v>
      </c>
      <c r="W36" s="53">
        <v>70242</v>
      </c>
      <c r="X36" s="14">
        <v>713000</v>
      </c>
      <c r="Y36" s="22"/>
      <c r="Z36" s="23"/>
      <c r="AA36" s="14"/>
      <c r="AB36" s="14"/>
      <c r="AC36" s="22"/>
      <c r="AD36" s="23"/>
      <c r="AE36" s="14"/>
      <c r="AF36" s="14"/>
      <c r="AG36" s="240"/>
      <c r="AH36" s="23"/>
      <c r="AI36" s="229"/>
      <c r="AJ36" s="229"/>
      <c r="AK36" s="232"/>
      <c r="AL36" s="232"/>
      <c r="AM36" s="241"/>
      <c r="AN36" s="229"/>
      <c r="AO36" s="232"/>
      <c r="AP36" s="232"/>
      <c r="AQ36" s="241"/>
      <c r="AR36" s="229"/>
      <c r="AS36" s="232"/>
      <c r="AT36" s="232"/>
      <c r="AU36" s="241"/>
      <c r="AV36" s="229"/>
      <c r="AW36" s="250"/>
    </row>
    <row r="37" spans="2:49" s="56" customFormat="1" x14ac:dyDescent="0.3">
      <c r="B37" s="225">
        <v>39872</v>
      </c>
      <c r="C37" s="45" t="s">
        <v>66</v>
      </c>
      <c r="D37" s="12" t="s">
        <v>67</v>
      </c>
      <c r="E37" s="12" t="s">
        <v>68</v>
      </c>
      <c r="F37" s="46" t="s">
        <v>53</v>
      </c>
      <c r="G37" s="14">
        <v>10150000</v>
      </c>
      <c r="H37" s="48">
        <v>10</v>
      </c>
      <c r="I37" s="47">
        <v>1063787</v>
      </c>
      <c r="J37" s="54">
        <v>2127574</v>
      </c>
      <c r="K37" s="50">
        <v>8</v>
      </c>
      <c r="L37" s="50">
        <v>19</v>
      </c>
      <c r="M37" s="23"/>
      <c r="N37" s="23"/>
      <c r="O37" s="23"/>
      <c r="P37" s="23"/>
      <c r="Q37" s="17">
        <v>71</v>
      </c>
      <c r="R37" s="23">
        <v>0</v>
      </c>
      <c r="S37" s="53">
        <v>56663</v>
      </c>
      <c r="T37" s="14">
        <v>1015000</v>
      </c>
      <c r="U37" s="17">
        <v>76</v>
      </c>
      <c r="V37" s="23">
        <v>0</v>
      </c>
      <c r="W37" s="53">
        <v>59740</v>
      </c>
      <c r="X37" s="14">
        <v>1045000</v>
      </c>
      <c r="Y37" s="22">
        <v>80</v>
      </c>
      <c r="Z37" s="23">
        <v>0</v>
      </c>
      <c r="AA37" s="14">
        <v>57380</v>
      </c>
      <c r="AB37" s="14">
        <v>1065000</v>
      </c>
      <c r="AC37" s="22">
        <v>80</v>
      </c>
      <c r="AD37" s="23">
        <v>0</v>
      </c>
      <c r="AE37" s="14">
        <v>55655</v>
      </c>
      <c r="AF37" s="14">
        <v>1047500</v>
      </c>
      <c r="AG37" s="240">
        <v>83</v>
      </c>
      <c r="AH37" s="23">
        <v>0</v>
      </c>
      <c r="AI37" s="229">
        <v>72244.240000000005</v>
      </c>
      <c r="AJ37" s="229">
        <v>1080000</v>
      </c>
      <c r="AK37" s="232">
        <v>80</v>
      </c>
      <c r="AL37" s="232">
        <v>0</v>
      </c>
      <c r="AM37" s="241">
        <v>67555.06</v>
      </c>
      <c r="AN37" s="229">
        <v>1015000</v>
      </c>
      <c r="AO37" s="232">
        <v>76</v>
      </c>
      <c r="AP37" s="232">
        <v>0</v>
      </c>
      <c r="AQ37" s="241">
        <v>69715</v>
      </c>
      <c r="AR37" s="229">
        <v>997500</v>
      </c>
      <c r="AS37" s="232"/>
      <c r="AT37" s="232"/>
      <c r="AU37" s="241"/>
      <c r="AV37" s="229"/>
      <c r="AW37" s="250"/>
    </row>
    <row r="38" spans="2:49" s="20" customFormat="1" ht="31.2" x14ac:dyDescent="0.3">
      <c r="B38" s="257">
        <v>39697</v>
      </c>
      <c r="C38" s="45" t="s">
        <v>69</v>
      </c>
      <c r="D38" s="12" t="s">
        <v>36</v>
      </c>
      <c r="E38" s="12" t="s">
        <v>36</v>
      </c>
      <c r="F38" s="46" t="s">
        <v>53</v>
      </c>
      <c r="G38" s="14">
        <v>3920000</v>
      </c>
      <c r="H38" s="48">
        <v>10</v>
      </c>
      <c r="I38" s="47">
        <v>180000</v>
      </c>
      <c r="J38" s="54">
        <v>2368384</v>
      </c>
      <c r="K38" s="50">
        <v>8</v>
      </c>
      <c r="L38" s="50">
        <v>19</v>
      </c>
      <c r="M38" s="23"/>
      <c r="N38" s="23"/>
      <c r="O38" s="23"/>
      <c r="P38" s="23"/>
      <c r="Q38" s="17">
        <v>8</v>
      </c>
      <c r="R38" s="50">
        <v>20</v>
      </c>
      <c r="S38" s="53">
        <v>36050</v>
      </c>
      <c r="T38" s="14">
        <v>392000</v>
      </c>
      <c r="U38" s="17">
        <v>8</v>
      </c>
      <c r="V38" s="50">
        <v>20</v>
      </c>
      <c r="W38" s="53">
        <v>39006</v>
      </c>
      <c r="X38" s="14">
        <v>392000</v>
      </c>
      <c r="Y38" s="17">
        <v>9</v>
      </c>
      <c r="Z38" s="50">
        <v>20</v>
      </c>
      <c r="AA38" s="53">
        <v>30510</v>
      </c>
      <c r="AB38" s="14">
        <v>392000</v>
      </c>
      <c r="AC38" s="17">
        <v>8</v>
      </c>
      <c r="AD38" s="50">
        <v>20</v>
      </c>
      <c r="AE38" s="53">
        <v>29128</v>
      </c>
      <c r="AF38" s="14">
        <v>392000</v>
      </c>
      <c r="AG38" s="232">
        <v>8</v>
      </c>
      <c r="AH38" s="221">
        <v>20</v>
      </c>
      <c r="AI38" s="241">
        <v>29136</v>
      </c>
      <c r="AJ38" s="229">
        <v>392000</v>
      </c>
      <c r="AK38" s="232">
        <v>6</v>
      </c>
      <c r="AL38" s="232">
        <v>20</v>
      </c>
      <c r="AM38" s="241">
        <v>35053.5</v>
      </c>
      <c r="AN38" s="229">
        <v>364000</v>
      </c>
      <c r="AO38" s="232">
        <v>6</v>
      </c>
      <c r="AP38" s="232">
        <v>20</v>
      </c>
      <c r="AQ38" s="241">
        <v>38455</v>
      </c>
      <c r="AR38" s="229">
        <v>364000</v>
      </c>
      <c r="AS38" s="232"/>
      <c r="AT38" s="232"/>
      <c r="AU38" s="241"/>
      <c r="AV38" s="229"/>
      <c r="AW38" s="250"/>
    </row>
    <row r="39" spans="2:49" s="20" customFormat="1" x14ac:dyDescent="0.3">
      <c r="B39" s="257">
        <v>39991</v>
      </c>
      <c r="C39" s="45" t="s">
        <v>70</v>
      </c>
      <c r="D39" s="12" t="s">
        <v>21</v>
      </c>
      <c r="E39" s="12" t="s">
        <v>22</v>
      </c>
      <c r="F39" s="57" t="s">
        <v>53</v>
      </c>
      <c r="G39" s="14">
        <v>2850000</v>
      </c>
      <c r="H39" s="48">
        <v>10</v>
      </c>
      <c r="I39" s="47">
        <v>250880</v>
      </c>
      <c r="J39" s="54">
        <v>464777</v>
      </c>
      <c r="K39" s="50">
        <v>25</v>
      </c>
      <c r="L39" s="50" t="s">
        <v>58</v>
      </c>
      <c r="M39" s="23"/>
      <c r="N39" s="23"/>
      <c r="O39" s="23"/>
      <c r="P39" s="23"/>
      <c r="Q39" s="17">
        <v>38</v>
      </c>
      <c r="R39" s="23">
        <v>0</v>
      </c>
      <c r="S39" s="53">
        <v>51697</v>
      </c>
      <c r="T39" s="14">
        <v>285000</v>
      </c>
      <c r="U39" s="17">
        <v>38</v>
      </c>
      <c r="V39" s="23">
        <v>0</v>
      </c>
      <c r="W39" s="53">
        <v>51041</v>
      </c>
      <c r="X39" s="14">
        <v>285000</v>
      </c>
      <c r="Y39" s="22">
        <v>38</v>
      </c>
      <c r="Z39" s="23">
        <v>0</v>
      </c>
      <c r="AA39" s="14">
        <v>57545</v>
      </c>
      <c r="AB39" s="14">
        <v>285000</v>
      </c>
      <c r="AC39" s="22">
        <v>36</v>
      </c>
      <c r="AD39" s="23">
        <v>0</v>
      </c>
      <c r="AE39" s="66" t="s">
        <v>58</v>
      </c>
      <c r="AF39" s="14">
        <v>270000</v>
      </c>
      <c r="AG39" s="240">
        <v>37</v>
      </c>
      <c r="AH39" s="23">
        <v>0</v>
      </c>
      <c r="AI39" s="238">
        <v>51038.42</v>
      </c>
      <c r="AJ39" s="229">
        <v>277500</v>
      </c>
      <c r="AK39" s="232">
        <v>25</v>
      </c>
      <c r="AL39" s="232">
        <v>0</v>
      </c>
      <c r="AM39" s="241">
        <v>57990</v>
      </c>
      <c r="AN39" s="229">
        <v>187500</v>
      </c>
      <c r="AO39" s="232"/>
      <c r="AP39" s="232"/>
      <c r="AQ39" s="241"/>
      <c r="AR39" s="229"/>
      <c r="AS39" s="232"/>
      <c r="AT39" s="232"/>
      <c r="AU39" s="241"/>
      <c r="AV39" s="229"/>
      <c r="AW39" s="250"/>
    </row>
    <row r="40" spans="2:49" s="20" customFormat="1" ht="31.2" x14ac:dyDescent="0.3">
      <c r="B40" s="257">
        <v>39371</v>
      </c>
      <c r="C40" s="45" t="s">
        <v>71</v>
      </c>
      <c r="D40" s="12" t="s">
        <v>72</v>
      </c>
      <c r="E40" s="12" t="s">
        <v>73</v>
      </c>
      <c r="F40" s="57" t="s">
        <v>53</v>
      </c>
      <c r="G40" s="14">
        <v>3500000</v>
      </c>
      <c r="H40" s="48">
        <v>10</v>
      </c>
      <c r="I40" s="47">
        <v>703520</v>
      </c>
      <c r="J40" s="54">
        <v>5033671</v>
      </c>
      <c r="K40" s="50">
        <v>27</v>
      </c>
      <c r="L40" s="50">
        <v>38</v>
      </c>
      <c r="M40" s="23"/>
      <c r="N40" s="23"/>
      <c r="O40" s="23"/>
      <c r="P40" s="23"/>
      <c r="Q40" s="17">
        <v>101</v>
      </c>
      <c r="R40" s="23">
        <v>0</v>
      </c>
      <c r="S40" s="53">
        <v>33400</v>
      </c>
      <c r="T40" s="14">
        <v>350000</v>
      </c>
      <c r="U40" s="17">
        <v>99</v>
      </c>
      <c r="V40" s="23">
        <v>0</v>
      </c>
      <c r="W40" s="53">
        <v>33257</v>
      </c>
      <c r="X40" s="14">
        <v>350000</v>
      </c>
      <c r="Y40" s="18">
        <v>86</v>
      </c>
      <c r="Z40" s="23">
        <v>0</v>
      </c>
      <c r="AA40" s="14">
        <v>36000</v>
      </c>
      <c r="AB40" s="14">
        <v>350000</v>
      </c>
      <c r="AC40" s="18">
        <v>101</v>
      </c>
      <c r="AD40" s="23">
        <v>0</v>
      </c>
      <c r="AE40" s="14">
        <v>37240</v>
      </c>
      <c r="AF40" s="14">
        <v>350000</v>
      </c>
      <c r="AG40" s="239">
        <v>70</v>
      </c>
      <c r="AH40" s="23">
        <v>0</v>
      </c>
      <c r="AI40" s="238">
        <v>37969</v>
      </c>
      <c r="AJ40" s="229">
        <v>350000</v>
      </c>
      <c r="AK40" s="239">
        <v>70</v>
      </c>
      <c r="AL40" s="23">
        <v>0</v>
      </c>
      <c r="AM40" s="241">
        <v>38507</v>
      </c>
      <c r="AN40" s="229">
        <v>350000</v>
      </c>
      <c r="AO40" s="239">
        <v>70</v>
      </c>
      <c r="AP40" s="23">
        <v>0</v>
      </c>
      <c r="AQ40" s="241">
        <v>41902</v>
      </c>
      <c r="AR40" s="229">
        <v>350000</v>
      </c>
      <c r="AS40" s="239"/>
      <c r="AT40" s="23"/>
      <c r="AU40" s="241"/>
      <c r="AV40" s="229"/>
      <c r="AW40" s="250"/>
    </row>
    <row r="41" spans="2:49" s="20" customFormat="1" ht="31.2" x14ac:dyDescent="0.3">
      <c r="B41" s="257">
        <v>40774</v>
      </c>
      <c r="C41" s="58" t="s">
        <v>74</v>
      </c>
      <c r="D41" s="12" t="s">
        <v>36</v>
      </c>
      <c r="E41" s="12" t="s">
        <v>36</v>
      </c>
      <c r="F41" s="57" t="s">
        <v>53</v>
      </c>
      <c r="G41" s="14">
        <v>33900000</v>
      </c>
      <c r="H41" s="48">
        <v>10</v>
      </c>
      <c r="I41" s="47">
        <v>1662667</v>
      </c>
      <c r="J41" s="54">
        <v>18971320</v>
      </c>
      <c r="K41" s="50">
        <v>8</v>
      </c>
      <c r="L41" s="50">
        <v>19</v>
      </c>
      <c r="M41" s="23"/>
      <c r="N41" s="23"/>
      <c r="O41" s="59"/>
      <c r="P41" s="59"/>
      <c r="Q41" s="17"/>
      <c r="R41" s="23"/>
      <c r="S41" s="53"/>
      <c r="T41" s="14"/>
      <c r="U41" s="17">
        <v>60</v>
      </c>
      <c r="V41" s="23">
        <v>170</v>
      </c>
      <c r="W41" s="53">
        <v>27040</v>
      </c>
      <c r="X41" s="14">
        <v>3410000</v>
      </c>
      <c r="Y41" s="17">
        <v>46</v>
      </c>
      <c r="Z41" s="23">
        <v>170</v>
      </c>
      <c r="AA41" s="53">
        <v>33540</v>
      </c>
      <c r="AB41" s="14">
        <v>3240000</v>
      </c>
      <c r="AC41" s="17">
        <v>18</v>
      </c>
      <c r="AD41" s="23">
        <v>170</v>
      </c>
      <c r="AE41" s="53">
        <v>40565</v>
      </c>
      <c r="AF41" s="14">
        <v>2820000</v>
      </c>
      <c r="AG41" s="232">
        <v>48</v>
      </c>
      <c r="AH41" s="23">
        <v>170</v>
      </c>
      <c r="AI41" s="241">
        <v>28633</v>
      </c>
      <c r="AJ41" s="229">
        <v>3270000</v>
      </c>
      <c r="AK41" s="239">
        <v>85</v>
      </c>
      <c r="AL41" s="23">
        <v>170</v>
      </c>
      <c r="AM41" s="241">
        <v>36429.160000000003</v>
      </c>
      <c r="AN41" s="229">
        <v>3390000</v>
      </c>
      <c r="AO41" s="239">
        <v>82</v>
      </c>
      <c r="AP41" s="23">
        <v>170</v>
      </c>
      <c r="AQ41" s="241">
        <v>39520</v>
      </c>
      <c r="AR41" s="229">
        <v>3390000</v>
      </c>
      <c r="AS41" s="239">
        <v>72</v>
      </c>
      <c r="AT41" s="23">
        <v>170</v>
      </c>
      <c r="AU41" s="241">
        <v>33280</v>
      </c>
      <c r="AV41" s="229">
        <v>3390000</v>
      </c>
      <c r="AW41" s="250"/>
    </row>
    <row r="42" spans="2:49" s="20" customFormat="1" x14ac:dyDescent="0.3">
      <c r="B42" s="257">
        <v>39190</v>
      </c>
      <c r="C42" s="58" t="s">
        <v>75</v>
      </c>
      <c r="D42" s="12" t="s">
        <v>21</v>
      </c>
      <c r="E42" s="12" t="s">
        <v>22</v>
      </c>
      <c r="F42" s="57" t="s">
        <v>53</v>
      </c>
      <c r="G42" s="14">
        <v>73237500</v>
      </c>
      <c r="H42" s="48">
        <v>10</v>
      </c>
      <c r="I42" s="47">
        <v>8274440</v>
      </c>
      <c r="J42" s="54">
        <v>13394696</v>
      </c>
      <c r="K42" s="50">
        <v>25</v>
      </c>
      <c r="L42" s="50">
        <v>35</v>
      </c>
      <c r="M42" s="23"/>
      <c r="N42" s="23"/>
      <c r="O42" s="59"/>
      <c r="P42" s="59"/>
      <c r="Q42" s="17"/>
      <c r="R42" s="23"/>
      <c r="S42" s="53"/>
      <c r="T42" s="14"/>
      <c r="U42" s="17">
        <v>837</v>
      </c>
      <c r="V42" s="23">
        <v>0</v>
      </c>
      <c r="W42" s="53">
        <v>160013</v>
      </c>
      <c r="X42" s="14">
        <v>7323750</v>
      </c>
      <c r="Y42" s="22">
        <v>853</v>
      </c>
      <c r="Z42" s="23">
        <v>0</v>
      </c>
      <c r="AA42" s="14">
        <v>162000</v>
      </c>
      <c r="AB42" s="14">
        <v>7323750</v>
      </c>
      <c r="AC42" s="22">
        <v>871</v>
      </c>
      <c r="AD42" s="23">
        <v>0</v>
      </c>
      <c r="AE42" s="14">
        <v>146325</v>
      </c>
      <c r="AF42" s="14">
        <v>7323750</v>
      </c>
      <c r="AG42" s="240">
        <v>856</v>
      </c>
      <c r="AH42" s="23">
        <v>0</v>
      </c>
      <c r="AI42" s="229">
        <v>148330.75</v>
      </c>
      <c r="AJ42" s="229">
        <v>7323750</v>
      </c>
      <c r="AK42" s="239">
        <v>801</v>
      </c>
      <c r="AL42" s="23">
        <v>0</v>
      </c>
      <c r="AM42" s="241">
        <v>172241</v>
      </c>
      <c r="AN42" s="229">
        <v>7008750</v>
      </c>
      <c r="AO42" s="239">
        <v>808</v>
      </c>
      <c r="AP42" s="23">
        <v>0</v>
      </c>
      <c r="AQ42" s="241">
        <v>185379</v>
      </c>
      <c r="AR42" s="229">
        <v>7070000</v>
      </c>
      <c r="AS42" s="239"/>
      <c r="AT42" s="23"/>
      <c r="AU42" s="241"/>
      <c r="AV42" s="229"/>
      <c r="AW42" s="250"/>
    </row>
    <row r="43" spans="2:49" s="20" customFormat="1" x14ac:dyDescent="0.3">
      <c r="B43" s="257">
        <v>41518</v>
      </c>
      <c r="C43" s="58" t="s">
        <v>76</v>
      </c>
      <c r="D43" s="46" t="s">
        <v>77</v>
      </c>
      <c r="E43" s="12" t="s">
        <v>36</v>
      </c>
      <c r="F43" s="57" t="s">
        <v>53</v>
      </c>
      <c r="G43" s="14">
        <v>1475500</v>
      </c>
      <c r="H43" s="48">
        <v>10</v>
      </c>
      <c r="I43" s="47">
        <v>1612800</v>
      </c>
      <c r="J43" s="54">
        <v>2967305</v>
      </c>
      <c r="K43" s="50">
        <v>8</v>
      </c>
      <c r="L43" s="50">
        <v>19</v>
      </c>
      <c r="M43" s="23"/>
      <c r="N43" s="23"/>
      <c r="O43" s="59"/>
      <c r="P43" s="59"/>
      <c r="Q43" s="17"/>
      <c r="R43" s="23"/>
      <c r="S43" s="53"/>
      <c r="T43" s="14"/>
      <c r="U43" s="17">
        <v>27</v>
      </c>
      <c r="V43" s="23">
        <v>0</v>
      </c>
      <c r="W43" s="53">
        <v>21268</v>
      </c>
      <c r="X43" s="14">
        <v>147550</v>
      </c>
      <c r="Y43" s="22">
        <v>0</v>
      </c>
      <c r="Z43" s="22">
        <v>0</v>
      </c>
      <c r="AA43" s="24">
        <v>0</v>
      </c>
      <c r="AB43" s="24">
        <v>0</v>
      </c>
      <c r="AC43" s="22"/>
      <c r="AD43" s="22"/>
      <c r="AE43" s="24"/>
      <c r="AF43" s="24"/>
      <c r="AG43" s="240"/>
      <c r="AH43" s="240"/>
      <c r="AI43" s="243"/>
      <c r="AJ43" s="243"/>
      <c r="AK43" s="239"/>
      <c r="AL43" s="23"/>
      <c r="AM43" s="241"/>
      <c r="AN43" s="229"/>
      <c r="AO43" s="239"/>
      <c r="AP43" s="23"/>
      <c r="AQ43" s="241"/>
      <c r="AR43" s="229"/>
      <c r="AS43" s="239"/>
      <c r="AT43" s="23"/>
      <c r="AU43" s="241"/>
      <c r="AV43" s="229"/>
      <c r="AW43" s="250"/>
    </row>
    <row r="44" spans="2:49" s="20" customFormat="1" x14ac:dyDescent="0.3">
      <c r="B44" s="257">
        <v>39728</v>
      </c>
      <c r="C44" s="58" t="s">
        <v>78</v>
      </c>
      <c r="D44" s="46" t="s">
        <v>79</v>
      </c>
      <c r="E44" s="12" t="s">
        <v>45</v>
      </c>
      <c r="F44" s="57" t="s">
        <v>53</v>
      </c>
      <c r="G44" s="14">
        <v>4675000</v>
      </c>
      <c r="H44" s="48">
        <v>10</v>
      </c>
      <c r="I44" s="47">
        <v>2600000</v>
      </c>
      <c r="J44" s="54">
        <v>3658459</v>
      </c>
      <c r="K44" s="50">
        <v>35</v>
      </c>
      <c r="L44" s="50">
        <v>50</v>
      </c>
      <c r="M44" s="23"/>
      <c r="N44" s="23"/>
      <c r="O44" s="59"/>
      <c r="P44" s="59"/>
      <c r="Q44" s="17"/>
      <c r="R44" s="23"/>
      <c r="S44" s="53"/>
      <c r="T44" s="14"/>
      <c r="U44" s="17">
        <v>36</v>
      </c>
      <c r="V44" s="23">
        <v>115</v>
      </c>
      <c r="W44" s="53">
        <v>35000</v>
      </c>
      <c r="X44" s="14">
        <v>367836.98</v>
      </c>
      <c r="Y44" s="22">
        <v>39</v>
      </c>
      <c r="Z44" s="22">
        <v>115</v>
      </c>
      <c r="AA44" s="24">
        <v>38000</v>
      </c>
      <c r="AB44" s="24">
        <v>407127.14</v>
      </c>
      <c r="AC44" s="22">
        <v>31</v>
      </c>
      <c r="AD44" s="22">
        <v>115</v>
      </c>
      <c r="AE44" s="24">
        <v>48084</v>
      </c>
      <c r="AF44" s="243">
        <v>442500</v>
      </c>
      <c r="AG44" s="240">
        <v>36</v>
      </c>
      <c r="AH44" s="240">
        <v>115</v>
      </c>
      <c r="AI44" s="243">
        <v>48527</v>
      </c>
      <c r="AJ44" s="243">
        <v>394696</v>
      </c>
      <c r="AK44" s="239">
        <v>25</v>
      </c>
      <c r="AL44" s="23">
        <v>115</v>
      </c>
      <c r="AM44" s="241">
        <v>50000</v>
      </c>
      <c r="AN44" s="229">
        <v>412500</v>
      </c>
      <c r="AO44" s="239">
        <v>26</v>
      </c>
      <c r="AP44" s="23">
        <v>115</v>
      </c>
      <c r="AQ44" s="241">
        <v>42992</v>
      </c>
      <c r="AR44" s="229">
        <v>317166</v>
      </c>
      <c r="AS44" s="239"/>
      <c r="AT44" s="23"/>
      <c r="AU44" s="241"/>
      <c r="AV44" s="229"/>
      <c r="AW44" s="250"/>
    </row>
    <row r="45" spans="2:49" s="20" customFormat="1" ht="31.2" x14ac:dyDescent="0.3">
      <c r="B45" s="257">
        <v>39014</v>
      </c>
      <c r="C45" s="58" t="s">
        <v>80</v>
      </c>
      <c r="D45" s="46" t="s">
        <v>81</v>
      </c>
      <c r="E45" s="12" t="s">
        <v>82</v>
      </c>
      <c r="F45" s="57" t="s">
        <v>53</v>
      </c>
      <c r="G45" s="14">
        <v>9150000</v>
      </c>
      <c r="H45" s="48">
        <v>10</v>
      </c>
      <c r="I45" s="47">
        <v>2408987</v>
      </c>
      <c r="J45" s="54">
        <v>2682653</v>
      </c>
      <c r="K45" s="50">
        <v>27</v>
      </c>
      <c r="L45" s="50">
        <v>38</v>
      </c>
      <c r="M45" s="23"/>
      <c r="N45" s="23"/>
      <c r="O45" s="59"/>
      <c r="P45" s="59"/>
      <c r="Q45" s="17"/>
      <c r="R45" s="23"/>
      <c r="S45" s="53"/>
      <c r="T45" s="14"/>
      <c r="U45" s="17">
        <v>31</v>
      </c>
      <c r="V45" s="23">
        <v>243</v>
      </c>
      <c r="W45" s="53">
        <v>54350</v>
      </c>
      <c r="X45" s="14">
        <v>915000</v>
      </c>
      <c r="Y45" s="17">
        <v>27</v>
      </c>
      <c r="Z45" s="23">
        <v>243</v>
      </c>
      <c r="AA45" s="53">
        <v>55590</v>
      </c>
      <c r="AB45" s="14">
        <v>891000</v>
      </c>
      <c r="AC45" s="17"/>
      <c r="AD45" s="23"/>
      <c r="AE45" s="53"/>
      <c r="AF45" s="14"/>
      <c r="AG45" s="232"/>
      <c r="AH45" s="23"/>
      <c r="AI45" s="241"/>
      <c r="AJ45" s="229"/>
      <c r="AK45" s="239"/>
      <c r="AL45" s="23"/>
      <c r="AM45" s="241"/>
      <c r="AN45" s="229"/>
      <c r="AO45" s="239"/>
      <c r="AP45" s="23"/>
      <c r="AQ45" s="241"/>
      <c r="AR45" s="229"/>
      <c r="AS45" s="239"/>
      <c r="AT45" s="23"/>
      <c r="AU45" s="241"/>
      <c r="AV45" s="229"/>
      <c r="AW45" s="250"/>
    </row>
    <row r="46" spans="2:49" s="20" customFormat="1" x14ac:dyDescent="0.3">
      <c r="B46" s="257">
        <v>39372</v>
      </c>
      <c r="C46" s="58" t="s">
        <v>83</v>
      </c>
      <c r="D46" s="46" t="s">
        <v>84</v>
      </c>
      <c r="E46" s="12" t="s">
        <v>68</v>
      </c>
      <c r="F46" s="57" t="s">
        <v>53</v>
      </c>
      <c r="G46" s="14">
        <v>7537500</v>
      </c>
      <c r="H46" s="48">
        <v>10</v>
      </c>
      <c r="I46" s="47">
        <v>1745600</v>
      </c>
      <c r="J46" s="54">
        <v>4888001</v>
      </c>
      <c r="K46" s="50">
        <v>10</v>
      </c>
      <c r="L46" s="50">
        <v>25</v>
      </c>
      <c r="M46" s="23"/>
      <c r="N46" s="23"/>
      <c r="O46" s="59"/>
      <c r="P46" s="59"/>
      <c r="Q46" s="17"/>
      <c r="R46" s="23"/>
      <c r="S46" s="53"/>
      <c r="T46" s="14"/>
      <c r="U46" s="17">
        <v>96</v>
      </c>
      <c r="V46" s="23">
        <v>43</v>
      </c>
      <c r="W46" s="53">
        <v>18720</v>
      </c>
      <c r="X46" s="14">
        <v>753750</v>
      </c>
      <c r="Y46" s="17">
        <v>106</v>
      </c>
      <c r="Z46" s="23">
        <v>43</v>
      </c>
      <c r="AA46" s="53">
        <v>19240</v>
      </c>
      <c r="AB46" s="14">
        <v>753750</v>
      </c>
      <c r="AC46" s="23">
        <v>99</v>
      </c>
      <c r="AD46" s="23">
        <v>43</v>
      </c>
      <c r="AE46" s="53">
        <v>27814</v>
      </c>
      <c r="AF46" s="14">
        <v>753750</v>
      </c>
      <c r="AG46" s="23">
        <v>93</v>
      </c>
      <c r="AH46" s="23">
        <v>43</v>
      </c>
      <c r="AI46" s="241">
        <v>27135</v>
      </c>
      <c r="AJ46" s="229">
        <v>753750</v>
      </c>
      <c r="AK46" s="239">
        <v>130</v>
      </c>
      <c r="AL46" s="23">
        <v>43</v>
      </c>
      <c r="AM46" s="241">
        <v>24960</v>
      </c>
      <c r="AN46" s="229">
        <v>753750</v>
      </c>
      <c r="AO46" s="239">
        <v>106</v>
      </c>
      <c r="AP46" s="23">
        <v>43</v>
      </c>
      <c r="AQ46" s="241">
        <v>30160</v>
      </c>
      <c r="AR46" s="229">
        <v>753750</v>
      </c>
      <c r="AS46" s="239">
        <v>98</v>
      </c>
      <c r="AT46" s="23">
        <v>43</v>
      </c>
      <c r="AU46" s="241">
        <v>31470</v>
      </c>
      <c r="AV46" s="229">
        <v>753750</v>
      </c>
      <c r="AW46" s="250"/>
    </row>
    <row r="47" spans="2:49" s="20" customFormat="1" x14ac:dyDescent="0.3">
      <c r="B47" s="257">
        <v>41648</v>
      </c>
      <c r="C47" s="58" t="s">
        <v>85</v>
      </c>
      <c r="D47" s="46" t="s">
        <v>24</v>
      </c>
      <c r="E47" s="12" t="s">
        <v>22</v>
      </c>
      <c r="F47" s="57" t="s">
        <v>53</v>
      </c>
      <c r="G47" s="14">
        <v>8775000</v>
      </c>
      <c r="H47" s="48">
        <v>10</v>
      </c>
      <c r="I47" s="47">
        <v>1212160</v>
      </c>
      <c r="J47" s="54">
        <v>2538527</v>
      </c>
      <c r="K47" s="50">
        <v>10</v>
      </c>
      <c r="L47" s="50">
        <v>25</v>
      </c>
      <c r="M47" s="23"/>
      <c r="N47" s="23"/>
      <c r="O47" s="59"/>
      <c r="P47" s="59"/>
      <c r="Q47" s="17"/>
      <c r="R47" s="23"/>
      <c r="S47" s="53"/>
      <c r="T47" s="14"/>
      <c r="U47" s="17">
        <v>95</v>
      </c>
      <c r="V47" s="23">
        <v>0</v>
      </c>
      <c r="W47" s="53">
        <v>82694</v>
      </c>
      <c r="X47" s="14">
        <v>877500</v>
      </c>
      <c r="Y47" s="22">
        <v>96</v>
      </c>
      <c r="Z47" s="23">
        <v>0</v>
      </c>
      <c r="AA47" s="14">
        <v>64760</v>
      </c>
      <c r="AB47" s="14">
        <v>877500</v>
      </c>
      <c r="AC47" s="22">
        <v>90</v>
      </c>
      <c r="AD47" s="23">
        <v>0</v>
      </c>
      <c r="AE47" s="14">
        <v>73271.929999999993</v>
      </c>
      <c r="AF47" s="14">
        <v>877500</v>
      </c>
      <c r="AG47" s="240">
        <v>95</v>
      </c>
      <c r="AH47" s="23">
        <v>0</v>
      </c>
      <c r="AI47" s="229">
        <v>73993.19</v>
      </c>
      <c r="AJ47" s="229">
        <v>855000</v>
      </c>
      <c r="AK47" s="239">
        <v>95</v>
      </c>
      <c r="AL47" s="23">
        <v>0</v>
      </c>
      <c r="AM47" s="241">
        <v>72504.34</v>
      </c>
      <c r="AN47" s="229">
        <v>855000</v>
      </c>
      <c r="AO47" s="239">
        <v>87</v>
      </c>
      <c r="AP47" s="23">
        <v>0</v>
      </c>
      <c r="AQ47" s="241">
        <v>77572</v>
      </c>
      <c r="AR47" s="229">
        <v>826500</v>
      </c>
      <c r="AS47" s="239">
        <v>92</v>
      </c>
      <c r="AT47" s="23">
        <v>0</v>
      </c>
      <c r="AU47" s="241">
        <v>75205</v>
      </c>
      <c r="AV47" s="229">
        <v>855000</v>
      </c>
      <c r="AW47" s="250"/>
    </row>
    <row r="48" spans="2:49" s="20" customFormat="1" x14ac:dyDescent="0.3">
      <c r="B48" s="257">
        <v>38770</v>
      </c>
      <c r="C48" s="58" t="s">
        <v>86</v>
      </c>
      <c r="D48" s="46" t="s">
        <v>87</v>
      </c>
      <c r="E48" s="12" t="s">
        <v>62</v>
      </c>
      <c r="F48" s="57" t="s">
        <v>53</v>
      </c>
      <c r="G48" s="14">
        <v>30360000</v>
      </c>
      <c r="H48" s="48">
        <v>10</v>
      </c>
      <c r="I48" s="47">
        <v>6534400</v>
      </c>
      <c r="J48" s="54">
        <v>16105432</v>
      </c>
      <c r="K48" s="50">
        <v>10</v>
      </c>
      <c r="L48" s="50">
        <v>25</v>
      </c>
      <c r="M48" s="23"/>
      <c r="N48" s="23"/>
      <c r="O48" s="59"/>
      <c r="P48" s="59"/>
      <c r="Q48" s="17"/>
      <c r="R48" s="23"/>
      <c r="S48" s="53"/>
      <c r="T48" s="14"/>
      <c r="U48" s="17">
        <v>275</v>
      </c>
      <c r="V48" s="23">
        <v>0</v>
      </c>
      <c r="W48" s="53">
        <v>21840</v>
      </c>
      <c r="X48" s="14">
        <v>3036000</v>
      </c>
      <c r="Y48" s="17">
        <v>259</v>
      </c>
      <c r="Z48" s="23">
        <v>0</v>
      </c>
      <c r="AA48" s="53">
        <v>21840</v>
      </c>
      <c r="AB48" s="14">
        <v>3036000</v>
      </c>
      <c r="AC48" s="17">
        <v>248</v>
      </c>
      <c r="AD48" s="23">
        <v>0</v>
      </c>
      <c r="AE48" s="53">
        <v>21840</v>
      </c>
      <c r="AF48" s="14">
        <v>2976000</v>
      </c>
      <c r="AG48" s="232">
        <v>216</v>
      </c>
      <c r="AH48" s="23">
        <v>0</v>
      </c>
      <c r="AI48" s="241">
        <v>30529</v>
      </c>
      <c r="AJ48" s="229">
        <v>2592000</v>
      </c>
      <c r="AK48" s="239">
        <v>238</v>
      </c>
      <c r="AL48" s="23">
        <v>0</v>
      </c>
      <c r="AM48" s="241">
        <v>37120</v>
      </c>
      <c r="AN48" s="229">
        <v>2856000</v>
      </c>
      <c r="AO48" s="239">
        <v>254</v>
      </c>
      <c r="AP48" s="23">
        <v>0</v>
      </c>
      <c r="AQ48" s="241">
        <v>37440</v>
      </c>
      <c r="AR48" s="229">
        <v>3036000</v>
      </c>
      <c r="AS48" s="239">
        <v>293</v>
      </c>
      <c r="AT48" s="23">
        <v>0</v>
      </c>
      <c r="AU48" s="241">
        <v>39780</v>
      </c>
      <c r="AV48" s="229">
        <v>3036000</v>
      </c>
      <c r="AW48" s="250"/>
    </row>
    <row r="49" spans="2:49" s="20" customFormat="1" x14ac:dyDescent="0.3">
      <c r="B49" s="257">
        <v>40024</v>
      </c>
      <c r="C49" s="58" t="s">
        <v>88</v>
      </c>
      <c r="D49" s="46" t="s">
        <v>32</v>
      </c>
      <c r="E49" s="46" t="s">
        <v>33</v>
      </c>
      <c r="F49" s="46" t="s">
        <v>53</v>
      </c>
      <c r="G49" s="14">
        <v>7380000</v>
      </c>
      <c r="H49" s="48">
        <v>10</v>
      </c>
      <c r="I49" s="47">
        <v>4000000</v>
      </c>
      <c r="J49" s="54">
        <v>10277325</v>
      </c>
      <c r="K49" s="50">
        <v>10</v>
      </c>
      <c r="L49" s="50">
        <v>25</v>
      </c>
      <c r="M49" s="23"/>
      <c r="N49" s="23"/>
      <c r="O49" s="59"/>
      <c r="P49" s="59"/>
      <c r="Q49" s="17"/>
      <c r="R49" s="23"/>
      <c r="S49" s="53"/>
      <c r="T49" s="14"/>
      <c r="U49" s="17">
        <v>10</v>
      </c>
      <c r="V49" s="23">
        <v>328</v>
      </c>
      <c r="W49" s="53">
        <v>100328</v>
      </c>
      <c r="X49" s="14">
        <v>738000</v>
      </c>
      <c r="Y49" s="22">
        <v>2</v>
      </c>
      <c r="Z49" s="22">
        <v>328</v>
      </c>
      <c r="AA49" s="14">
        <v>110500</v>
      </c>
      <c r="AB49" s="14">
        <v>738000</v>
      </c>
      <c r="AC49" s="22">
        <v>0</v>
      </c>
      <c r="AD49" s="22">
        <v>315</v>
      </c>
      <c r="AE49" s="14">
        <v>117125.45</v>
      </c>
      <c r="AF49" s="14">
        <v>708750</v>
      </c>
      <c r="AG49" s="240">
        <v>2</v>
      </c>
      <c r="AH49" s="240">
        <v>328</v>
      </c>
      <c r="AI49" s="229">
        <v>109763.97</v>
      </c>
      <c r="AJ49" s="229">
        <v>738000</v>
      </c>
      <c r="AK49" s="239">
        <v>0</v>
      </c>
      <c r="AL49" s="23">
        <v>308</v>
      </c>
      <c r="AM49" s="241">
        <v>120068</v>
      </c>
      <c r="AN49" s="229">
        <v>693000</v>
      </c>
      <c r="AO49" s="239"/>
      <c r="AP49" s="23"/>
      <c r="AQ49" s="241"/>
      <c r="AR49" s="229"/>
      <c r="AS49" s="239"/>
      <c r="AT49" s="23"/>
      <c r="AU49" s="241"/>
      <c r="AV49" s="229"/>
      <c r="AW49" s="250"/>
    </row>
    <row r="50" spans="2:49" s="20" customFormat="1" x14ac:dyDescent="0.3">
      <c r="B50" s="257">
        <v>42005</v>
      </c>
      <c r="C50" s="58" t="s">
        <v>89</v>
      </c>
      <c r="D50" s="46" t="s">
        <v>21</v>
      </c>
      <c r="E50" s="46" t="s">
        <v>22</v>
      </c>
      <c r="F50" s="46" t="s">
        <v>53</v>
      </c>
      <c r="G50" s="14">
        <v>16875000</v>
      </c>
      <c r="H50" s="48">
        <v>10</v>
      </c>
      <c r="I50" s="47">
        <v>1401600</v>
      </c>
      <c r="J50" s="54">
        <v>1642866</v>
      </c>
      <c r="K50" s="50">
        <v>25</v>
      </c>
      <c r="L50" s="50">
        <v>35</v>
      </c>
      <c r="M50" s="23"/>
      <c r="N50" s="23"/>
      <c r="O50" s="59"/>
      <c r="P50" s="59"/>
      <c r="Q50" s="17"/>
      <c r="R50" s="23"/>
      <c r="S50" s="53"/>
      <c r="T50" s="14"/>
      <c r="U50" s="17">
        <v>221</v>
      </c>
      <c r="V50" s="23">
        <v>0</v>
      </c>
      <c r="W50" s="53">
        <v>20800</v>
      </c>
      <c r="X50" s="14">
        <v>1657500</v>
      </c>
      <c r="Y50" s="22">
        <v>112</v>
      </c>
      <c r="Z50" s="22">
        <v>0</v>
      </c>
      <c r="AA50" s="14">
        <v>43250</v>
      </c>
      <c r="AB50" s="14">
        <v>0</v>
      </c>
      <c r="AC50" s="22"/>
      <c r="AD50" s="22"/>
      <c r="AE50" s="14"/>
      <c r="AF50" s="14"/>
      <c r="AG50" s="240"/>
      <c r="AH50" s="240"/>
      <c r="AI50" s="229"/>
      <c r="AJ50" s="229"/>
      <c r="AK50" s="239"/>
      <c r="AL50" s="23"/>
      <c r="AM50" s="241"/>
      <c r="AN50" s="229"/>
      <c r="AO50" s="239"/>
      <c r="AP50" s="23"/>
      <c r="AQ50" s="241"/>
      <c r="AR50" s="229"/>
      <c r="AS50" s="239"/>
      <c r="AT50" s="23"/>
      <c r="AU50" s="241"/>
      <c r="AV50" s="229"/>
      <c r="AW50" s="250"/>
    </row>
    <row r="51" spans="2:49" s="20" customFormat="1" x14ac:dyDescent="0.3">
      <c r="B51" s="257">
        <v>39994</v>
      </c>
      <c r="C51" s="200" t="s">
        <v>90</v>
      </c>
      <c r="D51" s="46" t="s">
        <v>91</v>
      </c>
      <c r="E51" s="46" t="s">
        <v>92</v>
      </c>
      <c r="F51" s="46" t="s">
        <v>53</v>
      </c>
      <c r="G51" s="14">
        <v>25200000</v>
      </c>
      <c r="H51" s="48">
        <v>10</v>
      </c>
      <c r="I51" s="47">
        <v>5533333</v>
      </c>
      <c r="J51" s="54">
        <v>33758422</v>
      </c>
      <c r="K51" s="50">
        <v>8</v>
      </c>
      <c r="L51" s="50">
        <v>19</v>
      </c>
      <c r="M51" s="23"/>
      <c r="N51" s="23"/>
      <c r="O51" s="59"/>
      <c r="P51" s="59"/>
      <c r="Q51" s="17"/>
      <c r="R51" s="23"/>
      <c r="S51" s="53"/>
      <c r="T51" s="14"/>
      <c r="U51" s="17">
        <v>232</v>
      </c>
      <c r="V51" s="23">
        <v>0</v>
      </c>
      <c r="W51" s="53">
        <v>28080</v>
      </c>
      <c r="X51" s="14">
        <v>2436000</v>
      </c>
      <c r="Y51" s="17">
        <v>283</v>
      </c>
      <c r="Z51" s="23">
        <v>0</v>
      </c>
      <c r="AA51" s="53">
        <v>29120</v>
      </c>
      <c r="AB51" s="14">
        <v>2520000</v>
      </c>
      <c r="AC51" s="17">
        <v>303</v>
      </c>
      <c r="AD51" s="23">
        <v>0</v>
      </c>
      <c r="AE51" s="53">
        <v>30145</v>
      </c>
      <c r="AF51" s="14">
        <v>2520000</v>
      </c>
      <c r="AG51" s="232">
        <v>243</v>
      </c>
      <c r="AH51" s="23">
        <v>0</v>
      </c>
      <c r="AI51" s="241">
        <v>34708.959999999999</v>
      </c>
      <c r="AJ51" s="229">
        <v>2520000</v>
      </c>
      <c r="AK51" s="239">
        <v>243</v>
      </c>
      <c r="AL51" s="23">
        <v>0</v>
      </c>
      <c r="AM51" s="241">
        <v>36244</v>
      </c>
      <c r="AN51" s="229">
        <v>2520000</v>
      </c>
      <c r="AO51" s="239">
        <v>267</v>
      </c>
      <c r="AP51" s="23">
        <v>0</v>
      </c>
      <c r="AQ51" s="241">
        <v>38187</v>
      </c>
      <c r="AR51" s="229">
        <v>2520000</v>
      </c>
      <c r="AS51" s="239">
        <v>245</v>
      </c>
      <c r="AT51" s="23">
        <v>0</v>
      </c>
      <c r="AU51" s="241">
        <v>37952</v>
      </c>
      <c r="AV51" s="229">
        <v>2520000</v>
      </c>
      <c r="AW51" s="250"/>
    </row>
    <row r="52" spans="2:49" s="20" customFormat="1" x14ac:dyDescent="0.3">
      <c r="B52" s="257">
        <v>39781</v>
      </c>
      <c r="C52" s="197" t="s">
        <v>93</v>
      </c>
      <c r="D52" s="46" t="s">
        <v>21</v>
      </c>
      <c r="E52" s="46" t="s">
        <v>22</v>
      </c>
      <c r="F52" s="46" t="s">
        <v>53</v>
      </c>
      <c r="G52" s="14">
        <v>34720000</v>
      </c>
      <c r="H52" s="48">
        <v>10</v>
      </c>
      <c r="I52" s="47">
        <v>6365640</v>
      </c>
      <c r="J52" s="54">
        <v>27579689</v>
      </c>
      <c r="K52" s="50">
        <v>35</v>
      </c>
      <c r="L52" s="50">
        <v>50</v>
      </c>
      <c r="M52" s="23"/>
      <c r="N52" s="23"/>
      <c r="O52" s="59"/>
      <c r="P52" s="59"/>
      <c r="Q52" s="17"/>
      <c r="R52" s="23"/>
      <c r="S52" s="53"/>
      <c r="T52" s="14"/>
      <c r="U52" s="17">
        <v>451</v>
      </c>
      <c r="V52" s="23">
        <v>0</v>
      </c>
      <c r="W52" s="53">
        <v>75000</v>
      </c>
      <c r="X52" s="14">
        <v>3472000</v>
      </c>
      <c r="Y52" s="22">
        <v>441</v>
      </c>
      <c r="Z52" s="23">
        <v>0</v>
      </c>
      <c r="AA52" s="14">
        <v>75000</v>
      </c>
      <c r="AB52" s="14">
        <v>3417750</v>
      </c>
      <c r="AC52" s="240">
        <v>421</v>
      </c>
      <c r="AD52" s="23">
        <v>0</v>
      </c>
      <c r="AE52" s="229">
        <v>78542</v>
      </c>
      <c r="AF52" s="229">
        <v>3262750</v>
      </c>
      <c r="AG52" s="240">
        <v>401</v>
      </c>
      <c r="AH52" s="23">
        <v>0</v>
      </c>
      <c r="AI52" s="229">
        <v>80034.89</v>
      </c>
      <c r="AJ52" s="229">
        <v>3107750</v>
      </c>
      <c r="AK52" s="239">
        <v>293</v>
      </c>
      <c r="AL52" s="23">
        <v>0</v>
      </c>
      <c r="AM52" s="241">
        <v>91422</v>
      </c>
      <c r="AN52" s="229">
        <v>2197500</v>
      </c>
      <c r="AO52" s="239">
        <v>311</v>
      </c>
      <c r="AP52" s="23">
        <v>0</v>
      </c>
      <c r="AQ52" s="241">
        <v>90000</v>
      </c>
      <c r="AR52" s="229">
        <v>2332500</v>
      </c>
      <c r="AS52" s="239"/>
      <c r="AT52" s="23"/>
      <c r="AU52" s="241"/>
      <c r="AV52" s="229"/>
      <c r="AW52" s="250"/>
    </row>
    <row r="53" spans="2:49" s="20" customFormat="1" x14ac:dyDescent="0.3">
      <c r="B53" s="257">
        <v>40454</v>
      </c>
      <c r="C53" s="197" t="s">
        <v>56</v>
      </c>
      <c r="D53" s="46" t="s">
        <v>21</v>
      </c>
      <c r="E53" s="46" t="s">
        <v>22</v>
      </c>
      <c r="F53" s="46" t="s">
        <v>53</v>
      </c>
      <c r="G53" s="14">
        <v>8250000</v>
      </c>
      <c r="H53" s="48">
        <v>10</v>
      </c>
      <c r="I53" s="47">
        <v>968840</v>
      </c>
      <c r="J53" s="47">
        <v>1980676</v>
      </c>
      <c r="K53" s="50">
        <v>25</v>
      </c>
      <c r="L53" s="50">
        <v>35</v>
      </c>
      <c r="M53" s="23"/>
      <c r="N53" s="23"/>
      <c r="O53" s="59"/>
      <c r="P53" s="59"/>
      <c r="Q53" s="17"/>
      <c r="R53" s="23"/>
      <c r="S53" s="53"/>
      <c r="T53" s="14"/>
      <c r="U53" s="17">
        <v>100</v>
      </c>
      <c r="V53" s="23">
        <v>0</v>
      </c>
      <c r="W53" s="53">
        <v>135000</v>
      </c>
      <c r="X53" s="14">
        <v>825000</v>
      </c>
      <c r="Y53" s="22">
        <v>140</v>
      </c>
      <c r="Z53" s="22">
        <v>0</v>
      </c>
      <c r="AA53" s="14">
        <v>148245</v>
      </c>
      <c r="AB53" s="14">
        <v>825000</v>
      </c>
      <c r="AC53" s="240"/>
      <c r="AD53" s="240"/>
      <c r="AE53" s="229"/>
      <c r="AF53" s="229"/>
      <c r="AG53" s="240"/>
      <c r="AH53" s="240"/>
      <c r="AI53" s="229"/>
      <c r="AJ53" s="229"/>
      <c r="AK53" s="239"/>
      <c r="AL53" s="23"/>
      <c r="AM53" s="241"/>
      <c r="AN53" s="229"/>
      <c r="AO53" s="239"/>
      <c r="AP53" s="23"/>
      <c r="AQ53" s="241"/>
      <c r="AR53" s="229"/>
      <c r="AS53" s="239"/>
      <c r="AT53" s="23"/>
      <c r="AU53" s="241"/>
      <c r="AV53" s="229"/>
      <c r="AW53" s="250"/>
    </row>
    <row r="54" spans="2:49" s="20" customFormat="1" x14ac:dyDescent="0.3">
      <c r="B54" s="257">
        <v>39215</v>
      </c>
      <c r="C54" s="197" t="s">
        <v>94</v>
      </c>
      <c r="D54" s="46" t="s">
        <v>21</v>
      </c>
      <c r="E54" s="46" t="s">
        <v>22</v>
      </c>
      <c r="F54" s="46" t="s">
        <v>53</v>
      </c>
      <c r="G54" s="14">
        <v>224835000</v>
      </c>
      <c r="H54" s="48">
        <v>10</v>
      </c>
      <c r="I54" s="47">
        <v>43930600</v>
      </c>
      <c r="J54" s="47">
        <v>80181678</v>
      </c>
      <c r="K54" s="50">
        <v>25</v>
      </c>
      <c r="L54" s="50">
        <v>35</v>
      </c>
      <c r="M54" s="23"/>
      <c r="N54" s="23"/>
      <c r="O54" s="59"/>
      <c r="P54" s="59"/>
      <c r="Q54" s="17"/>
      <c r="R54" s="23"/>
      <c r="S54" s="53"/>
      <c r="T54" s="14"/>
      <c r="U54" s="23">
        <v>1000</v>
      </c>
      <c r="V54" s="23">
        <v>2612</v>
      </c>
      <c r="W54" s="53">
        <v>130000</v>
      </c>
      <c r="X54" s="14">
        <v>22483500</v>
      </c>
      <c r="Y54" s="145">
        <v>1000</v>
      </c>
      <c r="Z54" s="145">
        <v>2612</v>
      </c>
      <c r="AA54" s="14">
        <v>154000</v>
      </c>
      <c r="AB54" s="14">
        <v>22483500</v>
      </c>
      <c r="AC54" s="244">
        <v>1385</v>
      </c>
      <c r="AD54" s="244">
        <v>2612</v>
      </c>
      <c r="AE54" s="229">
        <v>154000</v>
      </c>
      <c r="AF54" s="229">
        <v>22483500</v>
      </c>
      <c r="AG54" s="244">
        <v>1158</v>
      </c>
      <c r="AH54" s="244">
        <v>2612</v>
      </c>
      <c r="AI54" s="229">
        <v>159244</v>
      </c>
      <c r="AJ54" s="229">
        <v>22483500</v>
      </c>
      <c r="AK54" s="239">
        <v>1153</v>
      </c>
      <c r="AL54" s="23">
        <v>2612</v>
      </c>
      <c r="AM54" s="241">
        <v>164510</v>
      </c>
      <c r="AN54" s="229">
        <v>22483500</v>
      </c>
      <c r="AO54" s="239"/>
      <c r="AP54" s="23"/>
      <c r="AQ54" s="241"/>
      <c r="AR54" s="229"/>
      <c r="AS54" s="239"/>
      <c r="AT54" s="23"/>
      <c r="AU54" s="241"/>
      <c r="AV54" s="229"/>
      <c r="AW54" s="250"/>
    </row>
    <row r="55" spans="2:49" s="20" customFormat="1" x14ac:dyDescent="0.3">
      <c r="B55" s="257">
        <v>38834</v>
      </c>
      <c r="C55" s="197" t="s">
        <v>95</v>
      </c>
      <c r="D55" s="57" t="s">
        <v>96</v>
      </c>
      <c r="E55" s="57" t="s">
        <v>97</v>
      </c>
      <c r="F55" s="46" t="s">
        <v>53</v>
      </c>
      <c r="G55" s="14">
        <v>13515000</v>
      </c>
      <c r="H55" s="48">
        <v>10</v>
      </c>
      <c r="I55" s="47">
        <v>1431520</v>
      </c>
      <c r="J55" s="54">
        <v>18262822</v>
      </c>
      <c r="K55" s="50">
        <v>8</v>
      </c>
      <c r="L55" s="50">
        <v>19</v>
      </c>
      <c r="M55" s="23"/>
      <c r="N55" s="23"/>
      <c r="O55" s="59"/>
      <c r="P55" s="59"/>
      <c r="Q55" s="17"/>
      <c r="R55" s="23"/>
      <c r="S55" s="53"/>
      <c r="T55" s="14"/>
      <c r="U55" s="17">
        <v>76</v>
      </c>
      <c r="V55" s="23">
        <v>176</v>
      </c>
      <c r="W55" s="53">
        <v>20800</v>
      </c>
      <c r="X55" s="14">
        <v>1351500</v>
      </c>
      <c r="Y55" s="22">
        <v>94</v>
      </c>
      <c r="Z55" s="22">
        <v>176</v>
      </c>
      <c r="AA55" s="14">
        <v>20800</v>
      </c>
      <c r="AB55" s="14">
        <v>1351500</v>
      </c>
      <c r="AC55" s="240">
        <v>71</v>
      </c>
      <c r="AD55" s="240">
        <v>176</v>
      </c>
      <c r="AE55" s="229">
        <v>24960</v>
      </c>
      <c r="AF55" s="229">
        <v>1351500</v>
      </c>
      <c r="AG55" s="240">
        <v>72</v>
      </c>
      <c r="AH55" s="240">
        <v>176</v>
      </c>
      <c r="AI55" s="229">
        <v>22880</v>
      </c>
      <c r="AJ55" s="229">
        <v>1351500</v>
      </c>
      <c r="AK55" s="239">
        <v>31</v>
      </c>
      <c r="AL55" s="23">
        <v>176</v>
      </c>
      <c r="AM55" s="241">
        <v>29120</v>
      </c>
      <c r="AN55" s="229">
        <v>1011500</v>
      </c>
      <c r="AO55" s="239">
        <v>71</v>
      </c>
      <c r="AP55" s="23">
        <v>176</v>
      </c>
      <c r="AQ55" s="241">
        <v>31200</v>
      </c>
      <c r="AR55" s="229">
        <v>1351500</v>
      </c>
      <c r="AS55" s="239">
        <v>97</v>
      </c>
      <c r="AT55" s="23">
        <v>176</v>
      </c>
      <c r="AU55" s="241">
        <v>33280</v>
      </c>
      <c r="AV55" s="229">
        <v>1351500</v>
      </c>
      <c r="AW55" s="250"/>
    </row>
    <row r="56" spans="2:49" s="20" customFormat="1" x14ac:dyDescent="0.3">
      <c r="B56" s="257">
        <v>40737</v>
      </c>
      <c r="C56" s="197" t="s">
        <v>98</v>
      </c>
      <c r="D56" s="57" t="s">
        <v>99</v>
      </c>
      <c r="E56" s="57" t="s">
        <v>73</v>
      </c>
      <c r="F56" s="46" t="s">
        <v>53</v>
      </c>
      <c r="G56" s="14">
        <v>8126630</v>
      </c>
      <c r="H56" s="48">
        <v>10</v>
      </c>
      <c r="I56" s="47">
        <v>1560000</v>
      </c>
      <c r="J56" s="47">
        <v>5177967</v>
      </c>
      <c r="K56" s="50">
        <v>8</v>
      </c>
      <c r="L56" s="50">
        <v>19</v>
      </c>
      <c r="M56" s="23"/>
      <c r="N56" s="23"/>
      <c r="O56" s="59"/>
      <c r="P56" s="59"/>
      <c r="Q56" s="17"/>
      <c r="R56" s="23"/>
      <c r="S56" s="53"/>
      <c r="T56" s="14"/>
      <c r="U56" s="17">
        <v>50</v>
      </c>
      <c r="V56" s="23">
        <v>87</v>
      </c>
      <c r="W56" s="53">
        <v>41430</v>
      </c>
      <c r="X56" s="14">
        <v>782663</v>
      </c>
      <c r="Y56" s="22">
        <v>68</v>
      </c>
      <c r="Z56" s="22">
        <v>87</v>
      </c>
      <c r="AA56" s="14">
        <v>44860</v>
      </c>
      <c r="AB56" s="14">
        <v>812663</v>
      </c>
      <c r="AC56" s="240">
        <v>72</v>
      </c>
      <c r="AD56" s="240">
        <v>87</v>
      </c>
      <c r="AE56" s="238">
        <v>47519.77</v>
      </c>
      <c r="AF56" s="229">
        <v>812663</v>
      </c>
      <c r="AG56" s="240">
        <v>53</v>
      </c>
      <c r="AH56" s="240">
        <v>87</v>
      </c>
      <c r="AI56" s="238">
        <v>34547.629999999997</v>
      </c>
      <c r="AJ56" s="229">
        <v>812663</v>
      </c>
      <c r="AK56" s="239">
        <v>83</v>
      </c>
      <c r="AL56" s="23">
        <v>87</v>
      </c>
      <c r="AM56" s="241">
        <v>48440</v>
      </c>
      <c r="AN56" s="229">
        <v>812663</v>
      </c>
      <c r="AO56" s="239"/>
      <c r="AP56" s="23"/>
      <c r="AQ56" s="241"/>
      <c r="AR56" s="229"/>
      <c r="AS56" s="239"/>
      <c r="AT56" s="23"/>
      <c r="AU56" s="241"/>
      <c r="AV56" s="229"/>
      <c r="AW56" s="250"/>
    </row>
    <row r="57" spans="2:49" s="20" customFormat="1" x14ac:dyDescent="0.3">
      <c r="B57" s="257">
        <v>39416</v>
      </c>
      <c r="C57" s="197" t="s">
        <v>100</v>
      </c>
      <c r="D57" s="57" t="s">
        <v>64</v>
      </c>
      <c r="E57" s="57" t="s">
        <v>22</v>
      </c>
      <c r="F57" s="46" t="s">
        <v>53</v>
      </c>
      <c r="G57" s="14">
        <v>14557500</v>
      </c>
      <c r="H57" s="48">
        <v>10</v>
      </c>
      <c r="I57" s="47">
        <v>6639720</v>
      </c>
      <c r="J57" s="54">
        <v>7676316</v>
      </c>
      <c r="K57" s="50">
        <v>35</v>
      </c>
      <c r="L57" s="50">
        <v>50</v>
      </c>
      <c r="M57" s="23"/>
      <c r="N57" s="23"/>
      <c r="O57" s="59"/>
      <c r="P57" s="59"/>
      <c r="Q57" s="17"/>
      <c r="R57" s="23"/>
      <c r="S57" s="53"/>
      <c r="T57" s="14"/>
      <c r="U57" s="17">
        <v>360</v>
      </c>
      <c r="V57" s="23">
        <v>93</v>
      </c>
      <c r="W57" s="53">
        <v>27456</v>
      </c>
      <c r="X57" s="14">
        <v>1455750</v>
      </c>
      <c r="Y57" s="22">
        <v>546</v>
      </c>
      <c r="Z57" s="22">
        <v>93</v>
      </c>
      <c r="AA57" s="14">
        <v>28454</v>
      </c>
      <c r="AB57" s="14">
        <v>1455750</v>
      </c>
      <c r="AC57" s="240">
        <v>486</v>
      </c>
      <c r="AD57" s="240">
        <v>93</v>
      </c>
      <c r="AE57" s="229">
        <v>30364.01</v>
      </c>
      <c r="AF57" s="229">
        <v>1455750</v>
      </c>
      <c r="AG57" s="240">
        <v>315</v>
      </c>
      <c r="AH57" s="240">
        <v>93</v>
      </c>
      <c r="AI57" s="229">
        <v>38977.47</v>
      </c>
      <c r="AJ57" s="229">
        <v>1455750</v>
      </c>
      <c r="AK57" s="239"/>
      <c r="AL57" s="23"/>
      <c r="AM57" s="241"/>
      <c r="AN57" s="229"/>
      <c r="AO57" s="239"/>
      <c r="AP57" s="23"/>
      <c r="AQ57" s="241"/>
      <c r="AR57" s="229"/>
      <c r="AS57" s="239"/>
      <c r="AT57" s="23"/>
      <c r="AU57" s="241"/>
      <c r="AV57" s="229"/>
      <c r="AW57" s="250"/>
    </row>
    <row r="58" spans="2:49" s="20" customFormat="1" x14ac:dyDescent="0.3">
      <c r="B58" s="257">
        <v>39572</v>
      </c>
      <c r="C58" s="197" t="s">
        <v>101</v>
      </c>
      <c r="D58" s="57" t="s">
        <v>84</v>
      </c>
      <c r="E58" s="57" t="s">
        <v>68</v>
      </c>
      <c r="F58" s="46" t="s">
        <v>53</v>
      </c>
      <c r="G58" s="14">
        <v>11340000</v>
      </c>
      <c r="H58" s="48">
        <v>10</v>
      </c>
      <c r="I58" s="47">
        <v>2680000</v>
      </c>
      <c r="J58" s="54">
        <v>2971038</v>
      </c>
      <c r="K58" s="50">
        <v>10</v>
      </c>
      <c r="L58" s="50">
        <v>25</v>
      </c>
      <c r="M58" s="23"/>
      <c r="N58" s="23"/>
      <c r="O58" s="59"/>
      <c r="P58" s="59"/>
      <c r="Q58" s="17"/>
      <c r="R58" s="23"/>
      <c r="S58" s="53"/>
      <c r="T58" s="14"/>
      <c r="U58" s="17">
        <v>54</v>
      </c>
      <c r="V58" s="23">
        <v>216</v>
      </c>
      <c r="W58" s="53">
        <v>61923</v>
      </c>
      <c r="X58" s="14">
        <v>1134000</v>
      </c>
      <c r="Y58" s="22">
        <v>48</v>
      </c>
      <c r="Z58" s="22">
        <v>216</v>
      </c>
      <c r="AA58" s="14">
        <v>69596</v>
      </c>
      <c r="AB58" s="14">
        <v>1092000</v>
      </c>
      <c r="AC58" s="240">
        <v>16</v>
      </c>
      <c r="AD58" s="240">
        <v>216</v>
      </c>
      <c r="AE58" s="229">
        <v>74867</v>
      </c>
      <c r="AF58" s="229">
        <v>806000</v>
      </c>
      <c r="AG58" s="240">
        <v>41</v>
      </c>
      <c r="AH58" s="240">
        <v>216</v>
      </c>
      <c r="AI58" s="229">
        <v>77893.83</v>
      </c>
      <c r="AJ58" s="229">
        <v>1043000</v>
      </c>
      <c r="AK58" s="239"/>
      <c r="AL58" s="23"/>
      <c r="AM58" s="241"/>
      <c r="AN58" s="229"/>
      <c r="AO58" s="239"/>
      <c r="AP58" s="23"/>
      <c r="AQ58" s="241"/>
      <c r="AR58" s="229"/>
      <c r="AS58" s="239"/>
      <c r="AT58" s="23"/>
      <c r="AU58" s="241"/>
      <c r="AV58" s="229"/>
      <c r="AW58" s="250"/>
    </row>
    <row r="59" spans="2:49" s="20" customFormat="1" ht="31.2" x14ac:dyDescent="0.3">
      <c r="B59" s="257">
        <v>39092</v>
      </c>
      <c r="C59" s="200" t="s">
        <v>102</v>
      </c>
      <c r="D59" s="57" t="s">
        <v>103</v>
      </c>
      <c r="E59" s="57" t="s">
        <v>30</v>
      </c>
      <c r="F59" s="46" t="s">
        <v>53</v>
      </c>
      <c r="G59" s="14">
        <v>5512500</v>
      </c>
      <c r="H59" s="48">
        <v>10</v>
      </c>
      <c r="I59" s="47">
        <v>3600000</v>
      </c>
      <c r="J59" s="47">
        <v>13480507</v>
      </c>
      <c r="K59" s="50">
        <v>35</v>
      </c>
      <c r="L59" s="50">
        <v>50</v>
      </c>
      <c r="M59" s="23"/>
      <c r="N59" s="23"/>
      <c r="O59" s="59"/>
      <c r="P59" s="59"/>
      <c r="Q59" s="17"/>
      <c r="R59" s="23"/>
      <c r="S59" s="53"/>
      <c r="T59" s="14"/>
      <c r="U59" s="17">
        <v>0</v>
      </c>
      <c r="V59" s="23">
        <v>279</v>
      </c>
      <c r="W59" s="53">
        <v>111696</v>
      </c>
      <c r="X59" s="14">
        <v>523125</v>
      </c>
      <c r="Y59" s="18">
        <v>0</v>
      </c>
      <c r="Z59" s="18">
        <v>260</v>
      </c>
      <c r="AA59" s="14">
        <v>105502.71</v>
      </c>
      <c r="AB59" s="14">
        <v>487500</v>
      </c>
      <c r="AC59" s="239">
        <v>0</v>
      </c>
      <c r="AD59" s="239">
        <v>244</v>
      </c>
      <c r="AE59" s="229">
        <v>105503</v>
      </c>
      <c r="AF59" s="229">
        <v>396500</v>
      </c>
      <c r="AG59" s="240"/>
      <c r="AH59" s="240"/>
      <c r="AI59" s="229"/>
      <c r="AJ59" s="229"/>
      <c r="AK59" s="239"/>
      <c r="AL59" s="23"/>
      <c r="AM59" s="241"/>
      <c r="AN59" s="229"/>
      <c r="AO59" s="239"/>
      <c r="AP59" s="23"/>
      <c r="AQ59" s="241"/>
      <c r="AR59" s="229"/>
      <c r="AS59" s="239"/>
      <c r="AT59" s="23"/>
      <c r="AU59" s="241"/>
      <c r="AV59" s="229"/>
      <c r="AW59" s="250"/>
    </row>
    <row r="60" spans="2:49" s="20" customFormat="1" x14ac:dyDescent="0.3">
      <c r="B60" s="257">
        <v>38763</v>
      </c>
      <c r="C60" s="203" t="s">
        <v>104</v>
      </c>
      <c r="D60" s="46" t="s">
        <v>21</v>
      </c>
      <c r="E60" s="46" t="s">
        <v>22</v>
      </c>
      <c r="F60" s="46" t="s">
        <v>53</v>
      </c>
      <c r="G60" s="14">
        <v>12300000</v>
      </c>
      <c r="H60" s="48">
        <v>10</v>
      </c>
      <c r="I60" s="47">
        <v>1705720</v>
      </c>
      <c r="J60" s="47">
        <v>4090997</v>
      </c>
      <c r="K60" s="50">
        <v>25</v>
      </c>
      <c r="L60" s="50">
        <v>35</v>
      </c>
      <c r="M60" s="23"/>
      <c r="N60" s="23"/>
      <c r="O60" s="59"/>
      <c r="P60" s="59"/>
      <c r="Q60" s="17"/>
      <c r="R60" s="23"/>
      <c r="S60" s="53"/>
      <c r="T60" s="14"/>
      <c r="U60" s="17">
        <v>150</v>
      </c>
      <c r="V60" s="23">
        <v>0</v>
      </c>
      <c r="W60" s="53">
        <v>80000</v>
      </c>
      <c r="X60" s="14">
        <v>1087500</v>
      </c>
      <c r="Y60" s="22"/>
      <c r="Z60" s="22"/>
      <c r="AA60" s="14"/>
      <c r="AB60" s="14"/>
      <c r="AC60" s="240"/>
      <c r="AD60" s="240"/>
      <c r="AE60" s="229"/>
      <c r="AF60" s="229"/>
      <c r="AG60" s="240"/>
      <c r="AH60" s="240"/>
      <c r="AI60" s="229"/>
      <c r="AJ60" s="229"/>
      <c r="AK60" s="239"/>
      <c r="AL60" s="23"/>
      <c r="AM60" s="241"/>
      <c r="AN60" s="229"/>
      <c r="AO60" s="239"/>
      <c r="AP60" s="23"/>
      <c r="AQ60" s="241"/>
      <c r="AR60" s="229"/>
      <c r="AS60" s="239"/>
      <c r="AT60" s="23"/>
      <c r="AU60" s="241"/>
      <c r="AV60" s="229"/>
      <c r="AW60" s="250"/>
    </row>
    <row r="61" spans="2:49" s="20" customFormat="1" x14ac:dyDescent="0.3">
      <c r="B61" s="257">
        <v>38870</v>
      </c>
      <c r="C61" s="197" t="s">
        <v>105</v>
      </c>
      <c r="D61" s="57" t="s">
        <v>61</v>
      </c>
      <c r="E61" s="57" t="s">
        <v>62</v>
      </c>
      <c r="F61" s="46" t="s">
        <v>53</v>
      </c>
      <c r="G61" s="14">
        <v>9180000</v>
      </c>
      <c r="H61" s="48">
        <v>10</v>
      </c>
      <c r="I61" s="47">
        <v>6164000</v>
      </c>
      <c r="J61" s="47">
        <v>22501080</v>
      </c>
      <c r="K61" s="50">
        <v>25</v>
      </c>
      <c r="L61" s="50">
        <v>35</v>
      </c>
      <c r="M61" s="23"/>
      <c r="N61" s="23"/>
      <c r="O61" s="59"/>
      <c r="P61" s="59"/>
      <c r="Q61" s="17"/>
      <c r="R61" s="23"/>
      <c r="S61" s="53"/>
      <c r="T61" s="14"/>
      <c r="U61" s="17">
        <v>130</v>
      </c>
      <c r="V61" s="23">
        <v>292</v>
      </c>
      <c r="W61" s="53">
        <v>151987</v>
      </c>
      <c r="X61" s="14">
        <v>918000</v>
      </c>
      <c r="Y61" s="22"/>
      <c r="Z61" s="22"/>
      <c r="AA61" s="14"/>
      <c r="AB61" s="14"/>
      <c r="AC61" s="22"/>
      <c r="AD61" s="22"/>
      <c r="AE61" s="14"/>
      <c r="AF61" s="14"/>
      <c r="AG61" s="240"/>
      <c r="AH61" s="240"/>
      <c r="AI61" s="229"/>
      <c r="AJ61" s="229"/>
      <c r="AK61" s="239"/>
      <c r="AL61" s="23"/>
      <c r="AM61" s="241"/>
      <c r="AN61" s="229"/>
      <c r="AO61" s="239"/>
      <c r="AP61" s="23"/>
      <c r="AQ61" s="241"/>
      <c r="AR61" s="229"/>
      <c r="AS61" s="239"/>
      <c r="AT61" s="23"/>
      <c r="AU61" s="241"/>
      <c r="AV61" s="229"/>
      <c r="AW61" s="250"/>
    </row>
    <row r="62" spans="2:49" s="56" customFormat="1" ht="31.2" x14ac:dyDescent="0.3">
      <c r="B62" s="225">
        <v>41420</v>
      </c>
      <c r="C62" s="197" t="s">
        <v>106</v>
      </c>
      <c r="D62" s="57" t="s">
        <v>107</v>
      </c>
      <c r="E62" s="57" t="s">
        <v>30</v>
      </c>
      <c r="F62" s="57" t="s">
        <v>53</v>
      </c>
      <c r="G62" s="14">
        <v>6580000</v>
      </c>
      <c r="H62" s="48">
        <v>10</v>
      </c>
      <c r="I62" s="47">
        <v>2833440</v>
      </c>
      <c r="J62" s="49">
        <v>11455837</v>
      </c>
      <c r="K62" s="50">
        <v>35</v>
      </c>
      <c r="L62" s="50">
        <v>50</v>
      </c>
      <c r="M62" s="23"/>
      <c r="N62" s="23"/>
      <c r="O62" s="59"/>
      <c r="P62" s="59"/>
      <c r="Q62" s="17"/>
      <c r="R62" s="23"/>
      <c r="S62" s="53"/>
      <c r="T62" s="14"/>
      <c r="U62" s="17">
        <v>0</v>
      </c>
      <c r="V62" s="23">
        <v>376</v>
      </c>
      <c r="W62" s="66">
        <v>49667</v>
      </c>
      <c r="X62" s="14">
        <v>658000</v>
      </c>
      <c r="Y62" s="17">
        <v>12</v>
      </c>
      <c r="Z62" s="23">
        <v>376</v>
      </c>
      <c r="AA62" s="66">
        <v>45998</v>
      </c>
      <c r="AB62" s="14">
        <v>658000</v>
      </c>
      <c r="AC62" s="17">
        <v>21</v>
      </c>
      <c r="AD62" s="23">
        <v>376</v>
      </c>
      <c r="AE62" s="66">
        <v>47500</v>
      </c>
      <c r="AF62" s="14">
        <v>658000</v>
      </c>
      <c r="AG62" s="232">
        <v>0</v>
      </c>
      <c r="AH62" s="23">
        <v>346</v>
      </c>
      <c r="AI62" s="238">
        <v>62999.94</v>
      </c>
      <c r="AJ62" s="229">
        <v>605500</v>
      </c>
      <c r="AK62" s="239"/>
      <c r="AL62" s="23"/>
      <c r="AM62" s="241"/>
      <c r="AN62" s="229"/>
      <c r="AO62" s="239"/>
      <c r="AP62" s="23"/>
      <c r="AQ62" s="241"/>
      <c r="AR62" s="229"/>
      <c r="AS62" s="239"/>
      <c r="AT62" s="23"/>
      <c r="AU62" s="241"/>
      <c r="AV62" s="229"/>
      <c r="AW62" s="250"/>
    </row>
    <row r="63" spans="2:49" s="20" customFormat="1" x14ac:dyDescent="0.3">
      <c r="B63" s="257">
        <v>42322</v>
      </c>
      <c r="C63" s="124" t="s">
        <v>108</v>
      </c>
      <c r="D63" s="57" t="s">
        <v>36</v>
      </c>
      <c r="E63" s="57" t="s">
        <v>36</v>
      </c>
      <c r="F63" s="57" t="s">
        <v>53</v>
      </c>
      <c r="G63" s="14">
        <v>7950000</v>
      </c>
      <c r="H63" s="48">
        <v>10</v>
      </c>
      <c r="I63" s="47">
        <v>1302707</v>
      </c>
      <c r="J63" s="47">
        <v>2851221</v>
      </c>
      <c r="K63" s="50">
        <v>8</v>
      </c>
      <c r="L63" s="50">
        <v>19</v>
      </c>
      <c r="M63" s="23"/>
      <c r="N63" s="23"/>
      <c r="O63" s="59"/>
      <c r="P63" s="59"/>
      <c r="Q63" s="17"/>
      <c r="R63" s="23"/>
      <c r="S63" s="53"/>
      <c r="T63" s="14"/>
      <c r="U63" s="17"/>
      <c r="V63" s="23"/>
      <c r="W63" s="53"/>
      <c r="X63" s="14"/>
      <c r="Y63" s="17">
        <v>8</v>
      </c>
      <c r="Z63" s="23">
        <v>45</v>
      </c>
      <c r="AA63" s="53">
        <v>41417</v>
      </c>
      <c r="AB63" s="14">
        <v>795000</v>
      </c>
      <c r="AC63" s="17">
        <v>12</v>
      </c>
      <c r="AD63" s="23">
        <v>45</v>
      </c>
      <c r="AE63" s="53">
        <v>38168</v>
      </c>
      <c r="AF63" s="14">
        <v>815000</v>
      </c>
      <c r="AG63" s="232">
        <v>9</v>
      </c>
      <c r="AH63" s="23">
        <v>45</v>
      </c>
      <c r="AI63" s="241">
        <v>39513</v>
      </c>
      <c r="AJ63" s="229">
        <v>795000</v>
      </c>
      <c r="AK63" s="239">
        <v>8</v>
      </c>
      <c r="AL63" s="23">
        <v>45</v>
      </c>
      <c r="AM63" s="241">
        <v>41683</v>
      </c>
      <c r="AN63" s="229">
        <v>795000</v>
      </c>
      <c r="AO63" s="239">
        <v>2</v>
      </c>
      <c r="AP63" s="23">
        <v>45</v>
      </c>
      <c r="AQ63" s="241">
        <v>44720</v>
      </c>
      <c r="AR63" s="229">
        <v>705000</v>
      </c>
      <c r="AS63" s="239">
        <v>15</v>
      </c>
      <c r="AT63" s="23">
        <v>45</v>
      </c>
      <c r="AU63" s="241">
        <v>44096</v>
      </c>
      <c r="AV63" s="229">
        <v>795000</v>
      </c>
      <c r="AW63" s="250"/>
    </row>
    <row r="64" spans="2:49" s="20" customFormat="1" x14ac:dyDescent="0.3">
      <c r="B64" s="257">
        <v>40713</v>
      </c>
      <c r="C64" s="197" t="s">
        <v>109</v>
      </c>
      <c r="D64" s="57" t="s">
        <v>21</v>
      </c>
      <c r="E64" s="57" t="s">
        <v>22</v>
      </c>
      <c r="F64" s="57" t="s">
        <v>53</v>
      </c>
      <c r="G64" s="14">
        <v>18715620</v>
      </c>
      <c r="H64" s="48">
        <v>7</v>
      </c>
      <c r="I64" s="47">
        <v>3420520</v>
      </c>
      <c r="J64" s="47">
        <v>19412120</v>
      </c>
      <c r="K64" s="50">
        <v>25</v>
      </c>
      <c r="L64" s="50">
        <v>35</v>
      </c>
      <c r="M64" s="23"/>
      <c r="N64" s="23"/>
      <c r="O64" s="59"/>
      <c r="P64" s="59"/>
      <c r="Q64" s="17"/>
      <c r="R64" s="23"/>
      <c r="S64" s="53"/>
      <c r="T64" s="14"/>
      <c r="U64" s="17"/>
      <c r="V64" s="23"/>
      <c r="W64" s="53"/>
      <c r="X64" s="14"/>
      <c r="Y64" s="17">
        <v>100</v>
      </c>
      <c r="Z64" s="23">
        <v>435</v>
      </c>
      <c r="AA64" s="53">
        <v>105700</v>
      </c>
      <c r="AB64" s="14">
        <v>2655660</v>
      </c>
      <c r="AC64" s="17">
        <v>97</v>
      </c>
      <c r="AD64" s="23">
        <v>435</v>
      </c>
      <c r="AE64" s="53">
        <v>109563.44</v>
      </c>
      <c r="AF64" s="14">
        <v>2628660</v>
      </c>
      <c r="AG64" s="232">
        <v>99</v>
      </c>
      <c r="AH64" s="23">
        <v>435</v>
      </c>
      <c r="AI64" s="241">
        <v>115541.17</v>
      </c>
      <c r="AJ64" s="229">
        <f>2671410-24750</f>
        <v>2646660</v>
      </c>
      <c r="AK64" s="239">
        <v>123</v>
      </c>
      <c r="AL64" s="23">
        <v>435</v>
      </c>
      <c r="AM64" s="241">
        <v>124128</v>
      </c>
      <c r="AN64" s="229">
        <v>2673660</v>
      </c>
      <c r="AO64" s="239">
        <v>114</v>
      </c>
      <c r="AP64" s="23">
        <v>435</v>
      </c>
      <c r="AQ64" s="241">
        <v>129556</v>
      </c>
      <c r="AR64" s="229">
        <v>2648160</v>
      </c>
      <c r="AS64" s="239"/>
      <c r="AT64" s="23"/>
      <c r="AU64" s="241"/>
      <c r="AV64" s="229"/>
      <c r="AW64" s="250"/>
    </row>
    <row r="65" spans="2:49" s="20" customFormat="1" x14ac:dyDescent="0.3">
      <c r="B65" s="257">
        <v>41717</v>
      </c>
      <c r="C65" s="124" t="s">
        <v>110</v>
      </c>
      <c r="D65" s="57" t="s">
        <v>21</v>
      </c>
      <c r="E65" s="57" t="s">
        <v>22</v>
      </c>
      <c r="F65" s="57" t="s">
        <v>53</v>
      </c>
      <c r="G65" s="14">
        <v>6900000</v>
      </c>
      <c r="H65" s="48">
        <v>10</v>
      </c>
      <c r="I65" s="47">
        <v>636480</v>
      </c>
      <c r="J65" s="47">
        <v>936634</v>
      </c>
      <c r="K65" s="50">
        <v>25</v>
      </c>
      <c r="L65" s="50">
        <v>35</v>
      </c>
      <c r="M65" s="23"/>
      <c r="N65" s="23"/>
      <c r="O65" s="59"/>
      <c r="P65" s="59"/>
      <c r="Q65" s="17"/>
      <c r="R65" s="23"/>
      <c r="S65" s="53"/>
      <c r="T65" s="14"/>
      <c r="U65" s="17"/>
      <c r="V65" s="23"/>
      <c r="W65" s="53"/>
      <c r="X65" s="14"/>
      <c r="Y65" s="17">
        <v>92</v>
      </c>
      <c r="Z65" s="23">
        <v>0</v>
      </c>
      <c r="AA65" s="53">
        <v>65000</v>
      </c>
      <c r="AB65" s="14">
        <v>690000</v>
      </c>
      <c r="AC65" s="17">
        <v>85</v>
      </c>
      <c r="AD65" s="23">
        <v>0</v>
      </c>
      <c r="AE65" s="53">
        <v>76028</v>
      </c>
      <c r="AF65" s="14">
        <v>637500</v>
      </c>
      <c r="AG65" s="232">
        <v>83</v>
      </c>
      <c r="AH65" s="23">
        <v>0</v>
      </c>
      <c r="AI65" s="241">
        <v>76624.88</v>
      </c>
      <c r="AJ65" s="229">
        <v>622500</v>
      </c>
      <c r="AK65" s="239">
        <v>77</v>
      </c>
      <c r="AL65" s="23">
        <v>0</v>
      </c>
      <c r="AM65" s="241">
        <v>82033</v>
      </c>
      <c r="AN65" s="229">
        <v>585000</v>
      </c>
      <c r="AO65" s="239">
        <v>74</v>
      </c>
      <c r="AP65" s="23">
        <v>0</v>
      </c>
      <c r="AQ65" s="241">
        <v>89000</v>
      </c>
      <c r="AR65" s="229">
        <v>555000</v>
      </c>
      <c r="AS65" s="239"/>
      <c r="AT65" s="23"/>
      <c r="AU65" s="241"/>
      <c r="AV65" s="229"/>
      <c r="AW65" s="250"/>
    </row>
    <row r="66" spans="2:49" s="20" customFormat="1" ht="31.2" x14ac:dyDescent="0.3">
      <c r="B66" s="257">
        <v>41345</v>
      </c>
      <c r="C66" s="124" t="s">
        <v>111</v>
      </c>
      <c r="D66" s="57" t="s">
        <v>112</v>
      </c>
      <c r="E66" s="57" t="s">
        <v>113</v>
      </c>
      <c r="F66" s="57" t="s">
        <v>53</v>
      </c>
      <c r="G66" s="14">
        <v>37102420</v>
      </c>
      <c r="H66" s="48">
        <v>10</v>
      </c>
      <c r="I66" s="47">
        <v>5156040</v>
      </c>
      <c r="J66" s="47">
        <v>15282745</v>
      </c>
      <c r="K66" s="50">
        <v>35</v>
      </c>
      <c r="L66" s="50">
        <v>50</v>
      </c>
      <c r="M66" s="23"/>
      <c r="N66" s="23"/>
      <c r="O66" s="59"/>
      <c r="P66" s="59"/>
      <c r="Q66" s="17"/>
      <c r="R66" s="23"/>
      <c r="S66" s="53"/>
      <c r="T66" s="14"/>
      <c r="U66" s="17"/>
      <c r="V66" s="23"/>
      <c r="W66" s="53"/>
      <c r="X66" s="14"/>
      <c r="Y66" s="17">
        <v>126</v>
      </c>
      <c r="Z66" s="23">
        <v>33</v>
      </c>
      <c r="AA66" s="53">
        <v>29640</v>
      </c>
      <c r="AB66" s="14">
        <v>3710242</v>
      </c>
      <c r="AC66" s="17">
        <v>628</v>
      </c>
      <c r="AD66" s="23">
        <v>122</v>
      </c>
      <c r="AE66" s="66">
        <v>33477</v>
      </c>
      <c r="AF66" s="14">
        <v>3626992</v>
      </c>
      <c r="AG66" s="232">
        <v>685</v>
      </c>
      <c r="AH66" s="23">
        <v>122</v>
      </c>
      <c r="AI66" s="238">
        <v>34320</v>
      </c>
      <c r="AJ66" s="229">
        <v>3589992</v>
      </c>
      <c r="AK66" s="239">
        <v>324</v>
      </c>
      <c r="AL66" s="23">
        <v>89</v>
      </c>
      <c r="AM66" s="241">
        <v>39062</v>
      </c>
      <c r="AN66" s="229">
        <v>2512904</v>
      </c>
      <c r="AO66" s="239">
        <v>479</v>
      </c>
      <c r="AP66" s="23">
        <v>89</v>
      </c>
      <c r="AQ66" s="241">
        <v>43680</v>
      </c>
      <c r="AR66" s="229">
        <v>2512904</v>
      </c>
      <c r="AS66" s="239"/>
      <c r="AT66" s="23"/>
      <c r="AU66" s="241"/>
      <c r="AV66" s="229"/>
      <c r="AW66" s="250"/>
    </row>
    <row r="67" spans="2:49" s="20" customFormat="1" x14ac:dyDescent="0.3">
      <c r="B67" s="257">
        <v>41519</v>
      </c>
      <c r="C67" s="124" t="s">
        <v>114</v>
      </c>
      <c r="D67" s="57" t="s">
        <v>36</v>
      </c>
      <c r="E67" s="57" t="s">
        <v>36</v>
      </c>
      <c r="F67" s="57" t="s">
        <v>53</v>
      </c>
      <c r="G67" s="14">
        <v>17100000</v>
      </c>
      <c r="H67" s="48">
        <v>10</v>
      </c>
      <c r="I67" s="47">
        <v>365067</v>
      </c>
      <c r="J67" s="47">
        <v>3557922</v>
      </c>
      <c r="K67" s="50">
        <v>8</v>
      </c>
      <c r="L67" s="50">
        <v>19</v>
      </c>
      <c r="M67" s="23"/>
      <c r="N67" s="23"/>
      <c r="O67" s="59"/>
      <c r="P67" s="59"/>
      <c r="Q67" s="17"/>
      <c r="R67" s="23"/>
      <c r="S67" s="53"/>
      <c r="T67" s="14"/>
      <c r="U67" s="17"/>
      <c r="V67" s="23"/>
      <c r="W67" s="53"/>
      <c r="X67" s="14"/>
      <c r="Y67" s="23">
        <v>0</v>
      </c>
      <c r="Z67" s="23">
        <v>114</v>
      </c>
      <c r="AA67" s="53">
        <v>25501</v>
      </c>
      <c r="AB67" s="14">
        <v>1710000</v>
      </c>
      <c r="AC67" s="23">
        <v>0</v>
      </c>
      <c r="AD67" s="23">
        <v>93</v>
      </c>
      <c r="AE67" s="53">
        <v>23139</v>
      </c>
      <c r="AF67" s="14">
        <v>1395000</v>
      </c>
      <c r="AG67" s="23">
        <v>0</v>
      </c>
      <c r="AH67" s="23">
        <v>92</v>
      </c>
      <c r="AI67" s="241">
        <v>21171.88</v>
      </c>
      <c r="AJ67" s="229">
        <v>1380000</v>
      </c>
      <c r="AK67" s="239">
        <v>0</v>
      </c>
      <c r="AL67" s="23">
        <v>94</v>
      </c>
      <c r="AM67" s="241">
        <v>24945.35</v>
      </c>
      <c r="AN67" s="229">
        <v>1410000</v>
      </c>
      <c r="AO67" s="239">
        <v>0</v>
      </c>
      <c r="AP67" s="23">
        <v>94</v>
      </c>
      <c r="AQ67" s="241">
        <v>25999</v>
      </c>
      <c r="AR67" s="229">
        <v>1410000</v>
      </c>
      <c r="AS67" s="239">
        <v>0</v>
      </c>
      <c r="AT67" s="23">
        <v>98</v>
      </c>
      <c r="AU67" s="241">
        <v>27075</v>
      </c>
      <c r="AV67" s="229">
        <v>1470000</v>
      </c>
      <c r="AW67" s="250"/>
    </row>
    <row r="68" spans="2:49" s="20" customFormat="1" x14ac:dyDescent="0.3">
      <c r="B68" s="257">
        <v>43893</v>
      </c>
      <c r="C68" s="124" t="s">
        <v>115</v>
      </c>
      <c r="D68" s="57" t="s">
        <v>116</v>
      </c>
      <c r="E68" s="57" t="s">
        <v>68</v>
      </c>
      <c r="F68" s="57" t="s">
        <v>53</v>
      </c>
      <c r="G68" s="14">
        <v>9100000</v>
      </c>
      <c r="H68" s="48">
        <v>10</v>
      </c>
      <c r="I68" s="47">
        <v>303334</v>
      </c>
      <c r="J68" s="47">
        <v>621912</v>
      </c>
      <c r="K68" s="50">
        <v>8</v>
      </c>
      <c r="L68" s="50">
        <v>19</v>
      </c>
      <c r="M68" s="23"/>
      <c r="N68" s="23"/>
      <c r="O68" s="59"/>
      <c r="P68" s="59"/>
      <c r="Q68" s="17"/>
      <c r="R68" s="23"/>
      <c r="S68" s="53"/>
      <c r="T68" s="14"/>
      <c r="U68" s="17"/>
      <c r="V68" s="23"/>
      <c r="W68" s="53"/>
      <c r="X68" s="14"/>
      <c r="Y68" s="17">
        <v>37</v>
      </c>
      <c r="Z68" s="23">
        <v>35</v>
      </c>
      <c r="AA68" s="53">
        <v>23920</v>
      </c>
      <c r="AB68" s="14">
        <v>940000</v>
      </c>
      <c r="AC68" s="17">
        <v>33</v>
      </c>
      <c r="AD68" s="23">
        <v>36</v>
      </c>
      <c r="AE68" s="53">
        <v>20800</v>
      </c>
      <c r="AF68" s="14">
        <v>910000</v>
      </c>
      <c r="AG68" s="232">
        <v>31</v>
      </c>
      <c r="AH68" s="23">
        <v>34</v>
      </c>
      <c r="AI68" s="241">
        <v>20912.560000000001</v>
      </c>
      <c r="AJ68" s="229">
        <v>910000</v>
      </c>
      <c r="AK68" s="239">
        <v>31</v>
      </c>
      <c r="AL68" s="23">
        <v>34</v>
      </c>
      <c r="AM68" s="241">
        <v>25663</v>
      </c>
      <c r="AN68" s="229">
        <v>910000</v>
      </c>
      <c r="AO68" s="239">
        <v>29</v>
      </c>
      <c r="AP68" s="23">
        <v>34</v>
      </c>
      <c r="AQ68" s="241">
        <v>32000</v>
      </c>
      <c r="AR68" s="229">
        <v>882000</v>
      </c>
      <c r="AS68" s="239">
        <v>29</v>
      </c>
      <c r="AT68" s="23">
        <v>34</v>
      </c>
      <c r="AU68" s="241">
        <v>33806</v>
      </c>
      <c r="AV68" s="229">
        <v>882000</v>
      </c>
      <c r="AW68" s="250"/>
    </row>
    <row r="69" spans="2:49" s="20" customFormat="1" x14ac:dyDescent="0.3">
      <c r="B69" s="257">
        <v>39274</v>
      </c>
      <c r="C69" s="124" t="s">
        <v>117</v>
      </c>
      <c r="D69" s="57" t="s">
        <v>36</v>
      </c>
      <c r="E69" s="57" t="s">
        <v>36</v>
      </c>
      <c r="F69" s="57" t="s">
        <v>53</v>
      </c>
      <c r="G69" s="14">
        <v>79561774</v>
      </c>
      <c r="H69" s="48">
        <v>10</v>
      </c>
      <c r="I69" s="47">
        <v>9600000</v>
      </c>
      <c r="J69" s="47">
        <v>79561774</v>
      </c>
      <c r="K69" s="50">
        <v>35</v>
      </c>
      <c r="L69" s="50">
        <v>50</v>
      </c>
      <c r="M69" s="23"/>
      <c r="N69" s="23"/>
      <c r="O69" s="59"/>
      <c r="P69" s="59"/>
      <c r="Q69" s="17"/>
      <c r="R69" s="23"/>
      <c r="S69" s="53"/>
      <c r="T69" s="14"/>
      <c r="U69" s="17"/>
      <c r="V69" s="23"/>
      <c r="W69" s="53"/>
      <c r="X69" s="14"/>
      <c r="Y69" s="17">
        <v>263</v>
      </c>
      <c r="Z69" s="23">
        <v>0</v>
      </c>
      <c r="AA69" s="53">
        <v>48955</v>
      </c>
      <c r="AB69" s="14">
        <v>7956177</v>
      </c>
      <c r="AC69" s="17">
        <v>255</v>
      </c>
      <c r="AD69" s="23">
        <v>0</v>
      </c>
      <c r="AE69" s="53">
        <v>58487.88</v>
      </c>
      <c r="AF69" s="14">
        <v>7956177</v>
      </c>
      <c r="AG69" s="232">
        <v>277</v>
      </c>
      <c r="AH69" s="23">
        <v>0</v>
      </c>
      <c r="AI69" s="241">
        <v>52229.16</v>
      </c>
      <c r="AJ69" s="229">
        <v>7956177</v>
      </c>
      <c r="AK69" s="239">
        <v>284</v>
      </c>
      <c r="AL69" s="23">
        <v>0</v>
      </c>
      <c r="AM69" s="241">
        <v>58542.92</v>
      </c>
      <c r="AN69" s="229">
        <v>7956177</v>
      </c>
      <c r="AO69" s="239">
        <v>261</v>
      </c>
      <c r="AP69" s="23">
        <v>0</v>
      </c>
      <c r="AQ69" s="241">
        <v>76350</v>
      </c>
      <c r="AR69" s="229">
        <v>7956177</v>
      </c>
      <c r="AS69" s="239">
        <v>251</v>
      </c>
      <c r="AT69" s="23">
        <v>0</v>
      </c>
      <c r="AU69" s="241">
        <v>108119</v>
      </c>
      <c r="AV69" s="229">
        <v>7956177</v>
      </c>
      <c r="AW69" s="250"/>
    </row>
    <row r="70" spans="2:49" s="20" customFormat="1" x14ac:dyDescent="0.3">
      <c r="B70" s="257">
        <v>42752</v>
      </c>
      <c r="C70" s="197" t="s">
        <v>118</v>
      </c>
      <c r="D70" s="57" t="s">
        <v>21</v>
      </c>
      <c r="E70" s="57" t="s">
        <v>22</v>
      </c>
      <c r="F70" s="57" t="s">
        <v>53</v>
      </c>
      <c r="G70" s="14">
        <v>6525000</v>
      </c>
      <c r="H70" s="48">
        <v>10</v>
      </c>
      <c r="I70" s="47">
        <v>928160</v>
      </c>
      <c r="J70" s="47">
        <v>3249838</v>
      </c>
      <c r="K70" s="50">
        <v>35</v>
      </c>
      <c r="L70" s="50">
        <v>50</v>
      </c>
      <c r="M70" s="23"/>
      <c r="N70" s="23"/>
      <c r="O70" s="59"/>
      <c r="P70" s="59"/>
      <c r="Q70" s="17"/>
      <c r="R70" s="23"/>
      <c r="S70" s="53"/>
      <c r="T70" s="14"/>
      <c r="U70" s="17"/>
      <c r="V70" s="23"/>
      <c r="W70" s="53"/>
      <c r="X70" s="14"/>
      <c r="Y70" s="17">
        <v>91</v>
      </c>
      <c r="Z70" s="23">
        <v>0</v>
      </c>
      <c r="AA70" s="53">
        <v>79375</v>
      </c>
      <c r="AB70" s="14">
        <v>652500</v>
      </c>
      <c r="AC70" s="17"/>
      <c r="AD70" s="23"/>
      <c r="AE70" s="53"/>
      <c r="AF70" s="14"/>
      <c r="AG70" s="232"/>
      <c r="AH70" s="23"/>
      <c r="AI70" s="241"/>
      <c r="AJ70" s="229"/>
      <c r="AK70" s="239"/>
      <c r="AL70" s="23"/>
      <c r="AM70" s="241"/>
      <c r="AN70" s="229"/>
      <c r="AO70" s="239"/>
      <c r="AP70" s="23"/>
      <c r="AQ70" s="241"/>
      <c r="AR70" s="229"/>
      <c r="AS70" s="239"/>
      <c r="AT70" s="23"/>
      <c r="AU70" s="241"/>
      <c r="AV70" s="229"/>
      <c r="AW70" s="250"/>
    </row>
    <row r="71" spans="2:49" s="20" customFormat="1" x14ac:dyDescent="0.3">
      <c r="B71" s="257">
        <v>44030</v>
      </c>
      <c r="C71" s="124" t="s">
        <v>119</v>
      </c>
      <c r="D71" s="57" t="s">
        <v>21</v>
      </c>
      <c r="E71" s="57" t="s">
        <v>22</v>
      </c>
      <c r="F71" s="57" t="s">
        <v>53</v>
      </c>
      <c r="G71" s="14">
        <v>3712500</v>
      </c>
      <c r="H71" s="48">
        <v>10</v>
      </c>
      <c r="I71" s="47">
        <v>465240</v>
      </c>
      <c r="J71" s="47">
        <v>841982</v>
      </c>
      <c r="K71" s="50">
        <v>25</v>
      </c>
      <c r="L71" s="50">
        <v>35</v>
      </c>
      <c r="M71" s="23"/>
      <c r="N71" s="23"/>
      <c r="O71" s="59"/>
      <c r="P71" s="59"/>
      <c r="Q71" s="17"/>
      <c r="R71" s="23"/>
      <c r="S71" s="53"/>
      <c r="T71" s="14"/>
      <c r="U71" s="17"/>
      <c r="V71" s="23"/>
      <c r="W71" s="53"/>
      <c r="X71" s="14"/>
      <c r="Y71" s="17">
        <v>46</v>
      </c>
      <c r="Z71" s="23">
        <v>0</v>
      </c>
      <c r="AA71" s="53">
        <v>115000</v>
      </c>
      <c r="AB71" s="14">
        <v>371250</v>
      </c>
      <c r="AC71" s="17">
        <v>43</v>
      </c>
      <c r="AD71" s="23">
        <v>0</v>
      </c>
      <c r="AE71" s="53">
        <v>156738.13</v>
      </c>
      <c r="AF71" s="14">
        <v>354750</v>
      </c>
      <c r="AG71" s="232">
        <v>43</v>
      </c>
      <c r="AH71" s="23">
        <v>0</v>
      </c>
      <c r="AI71" s="241">
        <v>150000</v>
      </c>
      <c r="AJ71" s="229">
        <v>354750</v>
      </c>
      <c r="AK71" s="239">
        <v>45</v>
      </c>
      <c r="AL71" s="23">
        <v>0</v>
      </c>
      <c r="AM71" s="241">
        <v>148958.32999999999</v>
      </c>
      <c r="AN71" s="229">
        <v>371250</v>
      </c>
      <c r="AO71" s="239">
        <v>40</v>
      </c>
      <c r="AP71" s="23">
        <v>0</v>
      </c>
      <c r="AQ71" s="241">
        <v>166875</v>
      </c>
      <c r="AR71" s="229">
        <v>330000</v>
      </c>
      <c r="AS71" s="239"/>
      <c r="AT71" s="23"/>
      <c r="AU71" s="241"/>
      <c r="AV71" s="229"/>
      <c r="AW71" s="250"/>
    </row>
    <row r="72" spans="2:49" s="20" customFormat="1" x14ac:dyDescent="0.3">
      <c r="B72" s="257">
        <v>43031</v>
      </c>
      <c r="C72" s="124" t="s">
        <v>120</v>
      </c>
      <c r="D72" s="57" t="s">
        <v>21</v>
      </c>
      <c r="E72" s="57" t="s">
        <v>22</v>
      </c>
      <c r="F72" s="57" t="s">
        <v>53</v>
      </c>
      <c r="G72" s="14">
        <v>30600000</v>
      </c>
      <c r="H72" s="48">
        <v>10</v>
      </c>
      <c r="I72" s="47">
        <v>2072960</v>
      </c>
      <c r="J72" s="47">
        <v>11177516</v>
      </c>
      <c r="K72" s="50">
        <v>25</v>
      </c>
      <c r="L72" s="50">
        <v>35</v>
      </c>
      <c r="M72" s="23"/>
      <c r="N72" s="23"/>
      <c r="O72" s="59"/>
      <c r="P72" s="59"/>
      <c r="Q72" s="17"/>
      <c r="R72" s="23"/>
      <c r="S72" s="53"/>
      <c r="T72" s="14"/>
      <c r="U72" s="17"/>
      <c r="V72" s="23"/>
      <c r="W72" s="53"/>
      <c r="X72" s="14"/>
      <c r="Y72" s="17">
        <v>340</v>
      </c>
      <c r="Z72" s="23">
        <v>0</v>
      </c>
      <c r="AA72" s="53">
        <v>131850</v>
      </c>
      <c r="AB72" s="14">
        <v>2943000</v>
      </c>
      <c r="AC72" s="17">
        <v>303</v>
      </c>
      <c r="AD72" s="23">
        <v>0</v>
      </c>
      <c r="AE72" s="53">
        <v>132460</v>
      </c>
      <c r="AF72" s="14">
        <v>2727000</v>
      </c>
      <c r="AG72" s="232">
        <v>275</v>
      </c>
      <c r="AH72" s="23">
        <v>0</v>
      </c>
      <c r="AI72" s="241">
        <v>137723</v>
      </c>
      <c r="AJ72" s="229">
        <v>2406250</v>
      </c>
      <c r="AK72" s="239">
        <v>239</v>
      </c>
      <c r="AL72" s="23">
        <v>13</v>
      </c>
      <c r="AM72" s="241">
        <v>138883</v>
      </c>
      <c r="AN72" s="229">
        <v>1551000</v>
      </c>
      <c r="AO72" s="239"/>
      <c r="AP72" s="23"/>
      <c r="AQ72" s="241"/>
      <c r="AR72" s="229"/>
      <c r="AS72" s="239"/>
      <c r="AT72" s="23"/>
      <c r="AU72" s="241"/>
      <c r="AV72" s="229"/>
      <c r="AW72" s="250"/>
    </row>
    <row r="73" spans="2:49" s="20" customFormat="1" x14ac:dyDescent="0.3">
      <c r="B73" s="257">
        <v>38929</v>
      </c>
      <c r="C73" s="124" t="s">
        <v>121</v>
      </c>
      <c r="D73" s="57" t="s">
        <v>36</v>
      </c>
      <c r="E73" s="57" t="s">
        <v>36</v>
      </c>
      <c r="F73" s="57" t="s">
        <v>53</v>
      </c>
      <c r="G73" s="14">
        <v>260000000</v>
      </c>
      <c r="H73" s="48">
        <v>10</v>
      </c>
      <c r="I73" s="47">
        <v>24000000</v>
      </c>
      <c r="J73" s="47">
        <v>260767128</v>
      </c>
      <c r="K73" s="50">
        <v>8</v>
      </c>
      <c r="L73" s="50">
        <v>19</v>
      </c>
      <c r="M73" s="23"/>
      <c r="N73" s="23"/>
      <c r="O73" s="59"/>
      <c r="P73" s="59"/>
      <c r="Q73" s="17"/>
      <c r="R73" s="23"/>
      <c r="S73" s="53"/>
      <c r="T73" s="14"/>
      <c r="U73" s="17"/>
      <c r="V73" s="23"/>
      <c r="W73" s="53"/>
      <c r="X73" s="14"/>
      <c r="Y73" s="17">
        <v>239</v>
      </c>
      <c r="Z73" s="23">
        <v>160</v>
      </c>
      <c r="AA73" s="53">
        <v>78600</v>
      </c>
      <c r="AB73" s="53">
        <v>26000000</v>
      </c>
      <c r="AC73" s="17">
        <v>253</v>
      </c>
      <c r="AD73" s="23">
        <v>160</v>
      </c>
      <c r="AE73" s="53">
        <v>69672.39</v>
      </c>
      <c r="AF73" s="53">
        <v>26000000</v>
      </c>
      <c r="AG73" s="232">
        <v>232</v>
      </c>
      <c r="AH73" s="23">
        <v>160</v>
      </c>
      <c r="AI73" s="241">
        <v>71107.7</v>
      </c>
      <c r="AJ73" s="241">
        <v>25802532</v>
      </c>
      <c r="AK73" s="239">
        <v>236</v>
      </c>
      <c r="AL73" s="23">
        <v>160</v>
      </c>
      <c r="AM73" s="241">
        <v>77887</v>
      </c>
      <c r="AN73" s="229">
        <v>26000000</v>
      </c>
      <c r="AO73" s="239">
        <v>236</v>
      </c>
      <c r="AP73" s="23">
        <v>160</v>
      </c>
      <c r="AQ73" s="241">
        <v>82375</v>
      </c>
      <c r="AR73" s="229">
        <v>26000000</v>
      </c>
      <c r="AS73" s="239"/>
      <c r="AT73" s="23"/>
      <c r="AU73" s="241"/>
      <c r="AV73" s="229"/>
      <c r="AW73" s="250"/>
    </row>
    <row r="74" spans="2:49" s="20" customFormat="1" x14ac:dyDescent="0.3">
      <c r="B74" s="257">
        <v>42661</v>
      </c>
      <c r="C74" s="124" t="s">
        <v>122</v>
      </c>
      <c r="D74" s="57" t="s">
        <v>21</v>
      </c>
      <c r="E74" s="57" t="s">
        <v>22</v>
      </c>
      <c r="F74" s="57" t="s">
        <v>53</v>
      </c>
      <c r="G74" s="14">
        <v>39440000</v>
      </c>
      <c r="H74" s="48">
        <v>10</v>
      </c>
      <c r="I74" s="47">
        <v>3190840</v>
      </c>
      <c r="J74" s="47">
        <v>16872362</v>
      </c>
      <c r="K74" s="50">
        <v>35</v>
      </c>
      <c r="L74" s="50">
        <v>50</v>
      </c>
      <c r="M74" s="23"/>
      <c r="N74" s="23"/>
      <c r="O74" s="59"/>
      <c r="P74" s="59"/>
      <c r="Q74" s="17"/>
      <c r="R74" s="23"/>
      <c r="S74" s="53"/>
      <c r="T74" s="14"/>
      <c r="U74" s="17"/>
      <c r="V74" s="23"/>
      <c r="W74" s="53"/>
      <c r="X74" s="14"/>
      <c r="Y74" s="17">
        <v>496</v>
      </c>
      <c r="Z74" s="23">
        <v>0</v>
      </c>
      <c r="AA74" s="53">
        <v>76632</v>
      </c>
      <c r="AB74" s="14">
        <v>3944000</v>
      </c>
      <c r="AC74" s="17">
        <v>476</v>
      </c>
      <c r="AD74" s="23">
        <v>0</v>
      </c>
      <c r="AE74" s="53">
        <v>73204.929999999993</v>
      </c>
      <c r="AF74" s="14">
        <v>3808000</v>
      </c>
      <c r="AG74" s="232">
        <v>474</v>
      </c>
      <c r="AH74" s="23">
        <v>0</v>
      </c>
      <c r="AI74" s="241">
        <v>87402</v>
      </c>
      <c r="AJ74" s="229">
        <v>3792000</v>
      </c>
      <c r="AK74" s="239">
        <v>477</v>
      </c>
      <c r="AL74" s="23">
        <v>0</v>
      </c>
      <c r="AM74" s="241">
        <v>88149</v>
      </c>
      <c r="AN74" s="229">
        <v>3816000</v>
      </c>
      <c r="AO74" s="239"/>
      <c r="AP74" s="23"/>
      <c r="AQ74" s="241"/>
      <c r="AR74" s="229"/>
      <c r="AS74" s="239"/>
      <c r="AT74" s="23"/>
      <c r="AU74" s="241"/>
      <c r="AV74" s="229"/>
      <c r="AW74" s="250"/>
    </row>
    <row r="75" spans="2:49" s="20" customFormat="1" x14ac:dyDescent="0.3">
      <c r="B75" s="257">
        <v>39716</v>
      </c>
      <c r="C75" s="196" t="s">
        <v>123</v>
      </c>
      <c r="D75" s="57" t="s">
        <v>77</v>
      </c>
      <c r="E75" s="57" t="s">
        <v>36</v>
      </c>
      <c r="F75" s="57" t="s">
        <v>53</v>
      </c>
      <c r="G75" s="14">
        <v>1852500</v>
      </c>
      <c r="H75" s="48">
        <v>10</v>
      </c>
      <c r="I75" s="47">
        <v>3075067</v>
      </c>
      <c r="J75" s="47">
        <v>5217998</v>
      </c>
      <c r="K75" s="50">
        <v>35</v>
      </c>
      <c r="L75" s="50">
        <v>50</v>
      </c>
      <c r="M75" s="23"/>
      <c r="N75" s="23"/>
      <c r="O75" s="59"/>
      <c r="P75" s="59"/>
      <c r="Q75" s="17"/>
      <c r="R75" s="23"/>
      <c r="S75" s="53"/>
      <c r="T75" s="14"/>
      <c r="U75" s="17"/>
      <c r="V75" s="23"/>
      <c r="W75" s="53"/>
      <c r="X75" s="14"/>
      <c r="Y75" s="17">
        <v>3</v>
      </c>
      <c r="Z75" s="23">
        <v>57</v>
      </c>
      <c r="AA75" s="53">
        <v>57203</v>
      </c>
      <c r="AB75" s="14">
        <v>185250</v>
      </c>
      <c r="AC75" s="17">
        <v>3</v>
      </c>
      <c r="AD75" s="23">
        <v>57</v>
      </c>
      <c r="AE75" s="53">
        <v>70085</v>
      </c>
      <c r="AF75" s="14">
        <v>185250</v>
      </c>
      <c r="AG75" s="232">
        <v>1</v>
      </c>
      <c r="AH75" s="23">
        <v>57</v>
      </c>
      <c r="AI75" s="241">
        <v>64317.38</v>
      </c>
      <c r="AJ75" s="229">
        <v>185250</v>
      </c>
      <c r="AK75" s="239">
        <v>4</v>
      </c>
      <c r="AL75" s="23">
        <v>57</v>
      </c>
      <c r="AM75" s="241">
        <v>65999</v>
      </c>
      <c r="AN75" s="229">
        <v>185250</v>
      </c>
      <c r="AO75" s="239">
        <v>5</v>
      </c>
      <c r="AP75" s="23">
        <v>57</v>
      </c>
      <c r="AQ75" s="241">
        <v>67753</v>
      </c>
      <c r="AR75" s="229">
        <v>185250</v>
      </c>
      <c r="AS75" s="239">
        <v>10</v>
      </c>
      <c r="AT75" s="23">
        <v>57</v>
      </c>
      <c r="AU75" s="241">
        <v>80576</v>
      </c>
      <c r="AV75" s="229">
        <v>185250</v>
      </c>
      <c r="AW75" s="250"/>
    </row>
    <row r="76" spans="2:49" s="20" customFormat="1" ht="31.2" x14ac:dyDescent="0.3">
      <c r="B76" s="257">
        <v>39849</v>
      </c>
      <c r="C76" s="124" t="s">
        <v>124</v>
      </c>
      <c r="D76" s="57" t="s">
        <v>125</v>
      </c>
      <c r="E76" s="57" t="s">
        <v>45</v>
      </c>
      <c r="F76" s="57" t="s">
        <v>53</v>
      </c>
      <c r="G76" s="14">
        <v>2212500</v>
      </c>
      <c r="H76" s="48">
        <v>10</v>
      </c>
      <c r="I76" s="47">
        <v>1750300</v>
      </c>
      <c r="J76" s="47">
        <v>4521968</v>
      </c>
      <c r="K76" s="50">
        <v>10</v>
      </c>
      <c r="L76" s="50">
        <v>25</v>
      </c>
      <c r="M76" s="23"/>
      <c r="N76" s="23"/>
      <c r="O76" s="59"/>
      <c r="P76" s="59"/>
      <c r="Q76" s="17"/>
      <c r="R76" s="23"/>
      <c r="S76" s="53"/>
      <c r="T76" s="14"/>
      <c r="U76" s="17"/>
      <c r="V76" s="23"/>
      <c r="W76" s="53"/>
      <c r="X76" s="14"/>
      <c r="Y76" s="17">
        <v>17</v>
      </c>
      <c r="Z76" s="23">
        <v>25</v>
      </c>
      <c r="AA76" s="53">
        <v>60320</v>
      </c>
      <c r="AB76" s="14">
        <v>221250</v>
      </c>
      <c r="AC76" s="17">
        <v>17</v>
      </c>
      <c r="AD76" s="23">
        <v>25</v>
      </c>
      <c r="AE76" s="53">
        <v>71761</v>
      </c>
      <c r="AF76" s="14">
        <v>221250</v>
      </c>
      <c r="AG76" s="232">
        <v>15</v>
      </c>
      <c r="AH76" s="23">
        <v>25</v>
      </c>
      <c r="AI76" s="241">
        <v>62942</v>
      </c>
      <c r="AJ76" s="229">
        <v>206250</v>
      </c>
      <c r="AK76" s="239">
        <v>10</v>
      </c>
      <c r="AL76" s="23">
        <v>25</v>
      </c>
      <c r="AM76" s="241">
        <v>62400</v>
      </c>
      <c r="AN76" s="229">
        <v>168750</v>
      </c>
      <c r="AO76" s="239"/>
      <c r="AP76" s="23"/>
      <c r="AQ76" s="241"/>
      <c r="AR76" s="229"/>
      <c r="AS76" s="239"/>
      <c r="AT76" s="23"/>
      <c r="AU76" s="241"/>
      <c r="AV76" s="229"/>
      <c r="AW76" s="250"/>
    </row>
    <row r="77" spans="2:49" s="20" customFormat="1" ht="31.2" x14ac:dyDescent="0.3">
      <c r="B77" s="257">
        <v>40682</v>
      </c>
      <c r="C77" s="124" t="s">
        <v>126</v>
      </c>
      <c r="D77" s="57" t="s">
        <v>36</v>
      </c>
      <c r="E77" s="57" t="s">
        <v>36</v>
      </c>
      <c r="F77" s="57" t="s">
        <v>53</v>
      </c>
      <c r="G77" s="14">
        <v>6175000</v>
      </c>
      <c r="H77" s="48">
        <v>10</v>
      </c>
      <c r="I77" s="47">
        <v>424000</v>
      </c>
      <c r="J77" s="47">
        <v>2313981</v>
      </c>
      <c r="K77" s="50">
        <v>27</v>
      </c>
      <c r="L77" s="50">
        <v>38</v>
      </c>
      <c r="M77" s="23"/>
      <c r="N77" s="23"/>
      <c r="O77" s="59"/>
      <c r="P77" s="59"/>
      <c r="Q77" s="17"/>
      <c r="R77" s="23"/>
      <c r="S77" s="53"/>
      <c r="T77" s="14"/>
      <c r="U77" s="17"/>
      <c r="V77" s="23"/>
      <c r="W77" s="53"/>
      <c r="X77" s="14"/>
      <c r="Y77" s="23">
        <v>0</v>
      </c>
      <c r="Z77" s="23">
        <v>65</v>
      </c>
      <c r="AA77" s="53">
        <v>35859</v>
      </c>
      <c r="AB77" s="14">
        <v>617500</v>
      </c>
      <c r="AC77" s="23">
        <v>0</v>
      </c>
      <c r="AD77" s="23">
        <v>65</v>
      </c>
      <c r="AE77" s="53">
        <v>38419</v>
      </c>
      <c r="AF77" s="14">
        <v>617500</v>
      </c>
      <c r="AG77" s="23">
        <v>0</v>
      </c>
      <c r="AH77" s="23">
        <v>54</v>
      </c>
      <c r="AI77" s="241">
        <v>46565</v>
      </c>
      <c r="AJ77" s="229">
        <v>513000</v>
      </c>
      <c r="AK77" s="239"/>
      <c r="AL77" s="23"/>
      <c r="AM77" s="241"/>
      <c r="AN77" s="229"/>
      <c r="AO77" s="239"/>
      <c r="AP77" s="23"/>
      <c r="AQ77" s="241"/>
      <c r="AR77" s="229"/>
      <c r="AS77" s="239"/>
      <c r="AT77" s="23"/>
      <c r="AU77" s="241"/>
      <c r="AV77" s="229"/>
      <c r="AW77" s="250"/>
    </row>
    <row r="78" spans="2:49" s="20" customFormat="1" x14ac:dyDescent="0.3">
      <c r="B78" s="257">
        <v>41772</v>
      </c>
      <c r="C78" s="124" t="s">
        <v>127</v>
      </c>
      <c r="D78" s="57" t="s">
        <v>21</v>
      </c>
      <c r="E78" s="57" t="s">
        <v>22</v>
      </c>
      <c r="F78" s="57" t="s">
        <v>53</v>
      </c>
      <c r="G78" s="14">
        <v>9975000</v>
      </c>
      <c r="H78" s="48">
        <v>10</v>
      </c>
      <c r="I78" s="47">
        <v>686140</v>
      </c>
      <c r="J78" s="47">
        <v>2190346</v>
      </c>
      <c r="K78" s="50">
        <v>10</v>
      </c>
      <c r="L78" s="50">
        <v>25</v>
      </c>
      <c r="M78" s="23"/>
      <c r="N78" s="23"/>
      <c r="O78" s="59"/>
      <c r="P78" s="59"/>
      <c r="Q78" s="17"/>
      <c r="R78" s="23"/>
      <c r="S78" s="53"/>
      <c r="T78" s="14"/>
      <c r="U78" s="17"/>
      <c r="V78" s="23"/>
      <c r="W78" s="53"/>
      <c r="X78" s="14"/>
      <c r="Y78" s="17">
        <v>83</v>
      </c>
      <c r="Z78" s="23">
        <v>0</v>
      </c>
      <c r="AA78" s="53">
        <v>54652</v>
      </c>
      <c r="AB78" s="14">
        <v>871500</v>
      </c>
      <c r="AC78" s="17">
        <v>91</v>
      </c>
      <c r="AD78" s="23">
        <v>0</v>
      </c>
      <c r="AE78" s="53">
        <v>53916</v>
      </c>
      <c r="AF78" s="14">
        <v>955500</v>
      </c>
      <c r="AG78" s="232">
        <v>109</v>
      </c>
      <c r="AH78" s="23">
        <v>0</v>
      </c>
      <c r="AI78" s="241">
        <v>50669</v>
      </c>
      <c r="AJ78" s="229">
        <v>997500</v>
      </c>
      <c r="AK78" s="239">
        <v>78</v>
      </c>
      <c r="AL78" s="23">
        <v>0</v>
      </c>
      <c r="AM78" s="241">
        <v>49854</v>
      </c>
      <c r="AN78" s="229">
        <v>819000</v>
      </c>
      <c r="AO78" s="239">
        <v>87</v>
      </c>
      <c r="AP78" s="23">
        <v>0</v>
      </c>
      <c r="AQ78" s="241">
        <v>60039</v>
      </c>
      <c r="AR78" s="229">
        <v>913500</v>
      </c>
      <c r="AS78" s="239"/>
      <c r="AT78" s="23"/>
      <c r="AU78" s="241"/>
      <c r="AV78" s="229"/>
      <c r="AW78" s="250"/>
    </row>
    <row r="79" spans="2:49" s="20" customFormat="1" ht="31.2" x14ac:dyDescent="0.3">
      <c r="B79" s="257">
        <v>39363</v>
      </c>
      <c r="C79" s="124" t="s">
        <v>128</v>
      </c>
      <c r="D79" s="57" t="s">
        <v>129</v>
      </c>
      <c r="E79" s="57" t="s">
        <v>27</v>
      </c>
      <c r="F79" s="57" t="s">
        <v>53</v>
      </c>
      <c r="G79" s="14">
        <v>2205000</v>
      </c>
      <c r="H79" s="48">
        <v>10</v>
      </c>
      <c r="I79" s="47">
        <v>698280</v>
      </c>
      <c r="J79" s="49">
        <v>1409534</v>
      </c>
      <c r="K79" s="50">
        <v>25</v>
      </c>
      <c r="L79" s="50">
        <v>35</v>
      </c>
      <c r="M79" s="23"/>
      <c r="N79" s="23"/>
      <c r="O79" s="59"/>
      <c r="P79" s="59"/>
      <c r="Q79" s="17"/>
      <c r="R79" s="23"/>
      <c r="S79" s="53"/>
      <c r="T79" s="14"/>
      <c r="U79" s="17"/>
      <c r="V79" s="23"/>
      <c r="W79" s="53"/>
      <c r="X79" s="14"/>
      <c r="Y79" s="17">
        <v>45</v>
      </c>
      <c r="Z79" s="23">
        <v>44</v>
      </c>
      <c r="AA79" s="53">
        <v>80641</v>
      </c>
      <c r="AB79" s="14">
        <v>220500</v>
      </c>
      <c r="AC79" s="17"/>
      <c r="AD79" s="23"/>
      <c r="AE79" s="53"/>
      <c r="AF79" s="14"/>
      <c r="AG79" s="232">
        <v>36</v>
      </c>
      <c r="AH79" s="23">
        <v>44</v>
      </c>
      <c r="AI79" s="241">
        <v>80145</v>
      </c>
      <c r="AJ79" s="229">
        <v>203000</v>
      </c>
      <c r="AK79" s="239">
        <v>39</v>
      </c>
      <c r="AL79" s="23">
        <v>44</v>
      </c>
      <c r="AM79" s="241">
        <v>83304</v>
      </c>
      <c r="AN79" s="229">
        <v>213500</v>
      </c>
      <c r="AO79" s="239"/>
      <c r="AP79" s="23"/>
      <c r="AQ79" s="241"/>
      <c r="AR79" s="229"/>
      <c r="AS79" s="239"/>
      <c r="AT79" s="23"/>
      <c r="AU79" s="241"/>
      <c r="AV79" s="229"/>
      <c r="AW79" s="250"/>
    </row>
    <row r="80" spans="2:49" s="20" customFormat="1" x14ac:dyDescent="0.3">
      <c r="B80" s="257">
        <v>41351</v>
      </c>
      <c r="C80" s="124" t="s">
        <v>130</v>
      </c>
      <c r="D80" s="57" t="s">
        <v>21</v>
      </c>
      <c r="E80" s="57" t="s">
        <v>22</v>
      </c>
      <c r="F80" s="57" t="s">
        <v>53</v>
      </c>
      <c r="G80" s="14">
        <v>9145000</v>
      </c>
      <c r="H80" s="48">
        <v>10</v>
      </c>
      <c r="I80" s="47">
        <v>1780000</v>
      </c>
      <c r="J80" s="49">
        <v>6803358</v>
      </c>
      <c r="K80" s="50">
        <v>35</v>
      </c>
      <c r="L80" s="50">
        <v>50</v>
      </c>
      <c r="M80" s="23"/>
      <c r="N80" s="23"/>
      <c r="O80" s="59"/>
      <c r="P80" s="59"/>
      <c r="Q80" s="17"/>
      <c r="R80" s="23"/>
      <c r="S80" s="53"/>
      <c r="T80" s="14"/>
      <c r="U80" s="17"/>
      <c r="V80" s="23"/>
      <c r="W80" s="53"/>
      <c r="X80" s="14"/>
      <c r="Y80" s="17">
        <v>118</v>
      </c>
      <c r="Z80" s="23">
        <v>0</v>
      </c>
      <c r="AA80" s="53">
        <v>115079</v>
      </c>
      <c r="AB80" s="14">
        <v>906750</v>
      </c>
      <c r="AC80" s="17">
        <v>111</v>
      </c>
      <c r="AD80" s="23">
        <v>0</v>
      </c>
      <c r="AE80" s="53">
        <v>140471</v>
      </c>
      <c r="AF80" s="14">
        <v>860250</v>
      </c>
      <c r="AG80" s="232">
        <v>108</v>
      </c>
      <c r="AH80" s="23">
        <v>0</v>
      </c>
      <c r="AI80" s="241">
        <v>139520.5</v>
      </c>
      <c r="AJ80" s="229">
        <v>837000</v>
      </c>
      <c r="AK80" s="239"/>
      <c r="AL80" s="23"/>
      <c r="AM80" s="241"/>
      <c r="AN80" s="229"/>
      <c r="AO80" s="239"/>
      <c r="AP80" s="23"/>
      <c r="AQ80" s="241"/>
      <c r="AR80" s="229"/>
      <c r="AS80" s="239"/>
      <c r="AT80" s="23"/>
      <c r="AU80" s="241"/>
      <c r="AV80" s="229"/>
      <c r="AW80" s="250"/>
    </row>
    <row r="81" spans="2:49" s="20" customFormat="1" ht="31.2" x14ac:dyDescent="0.3">
      <c r="B81" s="257">
        <v>40894</v>
      </c>
      <c r="C81" s="124" t="s">
        <v>131</v>
      </c>
      <c r="D81" s="57" t="s">
        <v>40</v>
      </c>
      <c r="E81" s="57" t="s">
        <v>27</v>
      </c>
      <c r="F81" s="57" t="s">
        <v>53</v>
      </c>
      <c r="G81" s="14">
        <v>1802500</v>
      </c>
      <c r="H81" s="48">
        <v>10</v>
      </c>
      <c r="I81" s="47">
        <v>1240520</v>
      </c>
      <c r="J81" s="49">
        <v>3309216</v>
      </c>
      <c r="K81" s="50">
        <v>10</v>
      </c>
      <c r="L81" s="50">
        <v>25</v>
      </c>
      <c r="M81" s="23"/>
      <c r="N81" s="23"/>
      <c r="O81" s="59"/>
      <c r="P81" s="59"/>
      <c r="Q81" s="17"/>
      <c r="R81" s="23"/>
      <c r="S81" s="53"/>
      <c r="T81" s="14"/>
      <c r="U81" s="17"/>
      <c r="V81" s="23"/>
      <c r="W81" s="53"/>
      <c r="X81" s="14"/>
      <c r="Y81" s="17">
        <v>18</v>
      </c>
      <c r="Z81" s="23">
        <v>77</v>
      </c>
      <c r="AA81" s="53">
        <v>87700</v>
      </c>
      <c r="AB81" s="14">
        <v>180250</v>
      </c>
      <c r="AC81" s="232"/>
      <c r="AD81" s="23"/>
      <c r="AE81" s="241"/>
      <c r="AF81" s="229"/>
      <c r="AG81" s="232"/>
      <c r="AH81" s="23"/>
      <c r="AI81" s="241"/>
      <c r="AJ81" s="229"/>
      <c r="AK81" s="239"/>
      <c r="AL81" s="23"/>
      <c r="AM81" s="241"/>
      <c r="AN81" s="229"/>
      <c r="AO81" s="239"/>
      <c r="AP81" s="23"/>
      <c r="AQ81" s="241"/>
      <c r="AR81" s="229"/>
      <c r="AS81" s="239"/>
      <c r="AT81" s="23"/>
      <c r="AU81" s="241"/>
      <c r="AV81" s="229"/>
      <c r="AW81" s="250"/>
    </row>
    <row r="82" spans="2:49" s="20" customFormat="1" x14ac:dyDescent="0.3">
      <c r="B82" s="257">
        <v>42476</v>
      </c>
      <c r="C82" s="124" t="s">
        <v>132</v>
      </c>
      <c r="D82" s="57" t="s">
        <v>133</v>
      </c>
      <c r="E82" s="57" t="s">
        <v>33</v>
      </c>
      <c r="F82" s="57" t="s">
        <v>53</v>
      </c>
      <c r="G82" s="14">
        <v>33022500</v>
      </c>
      <c r="H82" s="48">
        <v>10</v>
      </c>
      <c r="I82" s="47">
        <v>3466667</v>
      </c>
      <c r="J82" s="49">
        <v>9681212</v>
      </c>
      <c r="K82" s="50">
        <v>8</v>
      </c>
      <c r="L82" s="50">
        <v>19</v>
      </c>
      <c r="M82" s="23"/>
      <c r="N82" s="23"/>
      <c r="O82" s="59"/>
      <c r="P82" s="59"/>
      <c r="Q82" s="17"/>
      <c r="R82" s="23"/>
      <c r="S82" s="53"/>
      <c r="T82" s="14"/>
      <c r="U82" s="17"/>
      <c r="V82" s="23"/>
      <c r="W82" s="53"/>
      <c r="X82" s="14"/>
      <c r="Y82" s="17">
        <v>48</v>
      </c>
      <c r="Z82" s="23">
        <v>259</v>
      </c>
      <c r="AA82" s="53">
        <v>81777</v>
      </c>
      <c r="AB82" s="14">
        <v>3302250</v>
      </c>
      <c r="AC82" s="232">
        <v>33</v>
      </c>
      <c r="AD82" s="23">
        <v>259</v>
      </c>
      <c r="AE82" s="241">
        <v>58462.99</v>
      </c>
      <c r="AF82" s="229">
        <v>3302250</v>
      </c>
      <c r="AG82" s="232">
        <v>6</v>
      </c>
      <c r="AH82" s="23">
        <v>259</v>
      </c>
      <c r="AI82" s="241">
        <v>58520.57</v>
      </c>
      <c r="AJ82" s="229">
        <v>3302250</v>
      </c>
      <c r="AK82" s="239">
        <v>0</v>
      </c>
      <c r="AL82" s="23">
        <v>235</v>
      </c>
      <c r="AM82" s="241">
        <v>62375.45</v>
      </c>
      <c r="AN82" s="229">
        <v>2878750</v>
      </c>
      <c r="AO82" s="239">
        <v>0</v>
      </c>
      <c r="AP82" s="23">
        <v>244</v>
      </c>
      <c r="AQ82" s="241">
        <v>60793</v>
      </c>
      <c r="AR82" s="229">
        <v>2989000</v>
      </c>
      <c r="AS82" s="239">
        <v>0</v>
      </c>
      <c r="AT82" s="23">
        <v>254</v>
      </c>
      <c r="AU82" s="241">
        <v>61762</v>
      </c>
      <c r="AV82" s="229">
        <v>3238500</v>
      </c>
      <c r="AW82" s="250"/>
    </row>
    <row r="83" spans="2:49" s="20" customFormat="1" x14ac:dyDescent="0.3">
      <c r="B83" s="257">
        <v>41066</v>
      </c>
      <c r="C83" s="124" t="s">
        <v>94</v>
      </c>
      <c r="D83" s="46" t="s">
        <v>21</v>
      </c>
      <c r="E83" s="46" t="s">
        <v>22</v>
      </c>
      <c r="F83" s="57" t="s">
        <v>53</v>
      </c>
      <c r="G83" s="14">
        <v>187781000</v>
      </c>
      <c r="H83" s="48">
        <v>10</v>
      </c>
      <c r="I83" s="47">
        <v>12202760</v>
      </c>
      <c r="J83" s="49">
        <v>58644158</v>
      </c>
      <c r="K83" s="50">
        <v>25</v>
      </c>
      <c r="L83" s="50">
        <v>35</v>
      </c>
      <c r="M83" s="23"/>
      <c r="N83" s="23"/>
      <c r="O83" s="59"/>
      <c r="P83" s="59"/>
      <c r="Q83" s="17"/>
      <c r="R83" s="23"/>
      <c r="S83" s="53"/>
      <c r="T83" s="14"/>
      <c r="U83" s="17"/>
      <c r="V83" s="23"/>
      <c r="W83" s="53"/>
      <c r="X83" s="14"/>
      <c r="Y83" s="145">
        <v>2150</v>
      </c>
      <c r="Z83" s="23">
        <v>0</v>
      </c>
      <c r="AA83" s="53">
        <v>157500</v>
      </c>
      <c r="AB83" s="14">
        <v>18330900</v>
      </c>
      <c r="AC83" s="244">
        <v>2133</v>
      </c>
      <c r="AD83" s="23">
        <v>0</v>
      </c>
      <c r="AE83" s="241">
        <v>155508.5</v>
      </c>
      <c r="AF83" s="229">
        <v>18185958</v>
      </c>
      <c r="AG83" s="244">
        <v>2118</v>
      </c>
      <c r="AH83" s="23">
        <v>0</v>
      </c>
      <c r="AI83" s="241">
        <v>167029</v>
      </c>
      <c r="AJ83" s="229">
        <v>18058068</v>
      </c>
      <c r="AK83" s="239"/>
      <c r="AL83" s="23"/>
      <c r="AM83" s="241"/>
      <c r="AN83" s="229"/>
      <c r="AO83" s="239"/>
      <c r="AP83" s="23"/>
      <c r="AQ83" s="241"/>
      <c r="AR83" s="229"/>
      <c r="AS83" s="239"/>
      <c r="AT83" s="23"/>
      <c r="AU83" s="241"/>
      <c r="AV83" s="229"/>
      <c r="AW83" s="250"/>
    </row>
    <row r="84" spans="2:49" s="20" customFormat="1" ht="31.2" x14ac:dyDescent="0.3">
      <c r="B84" s="257">
        <v>39501</v>
      </c>
      <c r="C84" s="58" t="s">
        <v>134</v>
      </c>
      <c r="D84" s="57" t="s">
        <v>64</v>
      </c>
      <c r="E84" s="57" t="s">
        <v>22</v>
      </c>
      <c r="F84" s="57" t="s">
        <v>53</v>
      </c>
      <c r="G84" s="14">
        <v>35557500</v>
      </c>
      <c r="H84" s="48">
        <v>10</v>
      </c>
      <c r="I84" s="47">
        <v>49393160</v>
      </c>
      <c r="J84" s="49">
        <v>54395998</v>
      </c>
      <c r="K84" s="50">
        <v>35</v>
      </c>
      <c r="L84" s="50">
        <v>50</v>
      </c>
      <c r="M84" s="23"/>
      <c r="N84" s="23"/>
      <c r="O84" s="59"/>
      <c r="P84" s="59"/>
      <c r="Q84" s="17"/>
      <c r="R84" s="23"/>
      <c r="S84" s="53"/>
      <c r="T84" s="14"/>
      <c r="U84" s="17"/>
      <c r="V84" s="23"/>
      <c r="W84" s="53"/>
      <c r="X84" s="14"/>
      <c r="Y84" s="17">
        <v>158</v>
      </c>
      <c r="Z84" s="23">
        <v>931</v>
      </c>
      <c r="AA84" s="53">
        <v>21840</v>
      </c>
      <c r="AB84" s="14">
        <v>3429250</v>
      </c>
      <c r="AC84" s="232">
        <v>38</v>
      </c>
      <c r="AD84" s="23">
        <v>931</v>
      </c>
      <c r="AE84" s="241">
        <v>23261</v>
      </c>
      <c r="AF84" s="229">
        <v>2643375</v>
      </c>
      <c r="AG84" s="232">
        <v>0</v>
      </c>
      <c r="AH84" s="23">
        <v>895</v>
      </c>
      <c r="AI84" s="241">
        <v>25229</v>
      </c>
      <c r="AJ84" s="229">
        <v>2349375</v>
      </c>
      <c r="AK84" s="239"/>
      <c r="AL84" s="23"/>
      <c r="AM84" s="241"/>
      <c r="AN84" s="229"/>
      <c r="AO84" s="239"/>
      <c r="AP84" s="23"/>
      <c r="AQ84" s="241"/>
      <c r="AR84" s="229"/>
      <c r="AS84" s="239"/>
      <c r="AT84" s="23"/>
      <c r="AU84" s="241"/>
      <c r="AV84" s="229"/>
      <c r="AW84" s="250"/>
    </row>
    <row r="85" spans="2:49" s="20" customFormat="1" x14ac:dyDescent="0.3">
      <c r="B85" s="257">
        <v>41640</v>
      </c>
      <c r="C85" s="124" t="s">
        <v>135</v>
      </c>
      <c r="D85" s="57" t="s">
        <v>24</v>
      </c>
      <c r="E85" s="57" t="s">
        <v>22</v>
      </c>
      <c r="F85" s="57" t="s">
        <v>53</v>
      </c>
      <c r="G85" s="14">
        <v>2400000</v>
      </c>
      <c r="H85" s="48">
        <v>10</v>
      </c>
      <c r="I85" s="47">
        <v>1014800</v>
      </c>
      <c r="J85" s="49">
        <v>1753389</v>
      </c>
      <c r="K85" s="50">
        <v>35</v>
      </c>
      <c r="L85" s="50">
        <v>50</v>
      </c>
      <c r="M85" s="23"/>
      <c r="N85" s="23"/>
      <c r="O85" s="59"/>
      <c r="P85" s="59"/>
      <c r="Q85" s="17"/>
      <c r="R85" s="23"/>
      <c r="S85" s="53"/>
      <c r="T85" s="14"/>
      <c r="U85" s="17"/>
      <c r="V85" s="23"/>
      <c r="W85" s="53"/>
      <c r="X85" s="14"/>
      <c r="Y85" s="17">
        <v>48</v>
      </c>
      <c r="Z85" s="23">
        <v>0</v>
      </c>
      <c r="AA85" s="53">
        <v>44107</v>
      </c>
      <c r="AB85" s="14">
        <v>240000</v>
      </c>
      <c r="AC85" s="17"/>
      <c r="AD85" s="23"/>
      <c r="AE85" s="53"/>
      <c r="AF85" s="14"/>
      <c r="AG85" s="232"/>
      <c r="AH85" s="23"/>
      <c r="AI85" s="241"/>
      <c r="AJ85" s="229"/>
      <c r="AK85" s="239"/>
      <c r="AL85" s="23"/>
      <c r="AM85" s="241"/>
      <c r="AN85" s="229"/>
      <c r="AO85" s="239"/>
      <c r="AP85" s="23"/>
      <c r="AQ85" s="241"/>
      <c r="AR85" s="229"/>
      <c r="AS85" s="239"/>
      <c r="AT85" s="23"/>
      <c r="AU85" s="241"/>
      <c r="AV85" s="229"/>
      <c r="AW85" s="250"/>
    </row>
    <row r="86" spans="2:49" s="56" customFormat="1" x14ac:dyDescent="0.3">
      <c r="B86" s="225">
        <v>39779</v>
      </c>
      <c r="C86" s="58" t="s">
        <v>136</v>
      </c>
      <c r="D86" s="57" t="s">
        <v>137</v>
      </c>
      <c r="E86" s="57" t="s">
        <v>33</v>
      </c>
      <c r="F86" s="57" t="s">
        <v>53</v>
      </c>
      <c r="G86" s="14">
        <v>3500000</v>
      </c>
      <c r="H86" s="48">
        <v>10</v>
      </c>
      <c r="I86" s="47">
        <v>2421840</v>
      </c>
      <c r="J86" s="49">
        <v>3863063</v>
      </c>
      <c r="K86" s="50">
        <v>25</v>
      </c>
      <c r="L86" s="50">
        <v>35</v>
      </c>
      <c r="M86" s="23"/>
      <c r="N86" s="23"/>
      <c r="O86" s="59"/>
      <c r="P86" s="59"/>
      <c r="Q86" s="17"/>
      <c r="R86" s="23"/>
      <c r="S86" s="53"/>
      <c r="T86" s="14"/>
      <c r="U86" s="17"/>
      <c r="V86" s="23"/>
      <c r="W86" s="53"/>
      <c r="X86" s="14"/>
      <c r="Y86" s="17">
        <v>58</v>
      </c>
      <c r="Z86" s="23">
        <v>62</v>
      </c>
      <c r="AA86" s="53">
        <v>178724</v>
      </c>
      <c r="AB86" s="14">
        <v>350000</v>
      </c>
      <c r="AC86" s="17">
        <v>67</v>
      </c>
      <c r="AD86" s="23">
        <v>62</v>
      </c>
      <c r="AE86" s="53">
        <v>176299.6</v>
      </c>
      <c r="AF86" s="14">
        <v>332500</v>
      </c>
      <c r="AG86" s="232">
        <v>77</v>
      </c>
      <c r="AH86" s="23">
        <v>62</v>
      </c>
      <c r="AI86" s="241">
        <v>178431.79</v>
      </c>
      <c r="AJ86" s="229">
        <v>332500</v>
      </c>
      <c r="AK86" s="239">
        <v>91</v>
      </c>
      <c r="AL86" s="23">
        <v>62</v>
      </c>
      <c r="AM86" s="241">
        <v>188730.93</v>
      </c>
      <c r="AN86" s="229">
        <v>350000</v>
      </c>
      <c r="AO86" s="239">
        <v>69</v>
      </c>
      <c r="AP86" s="23">
        <v>62</v>
      </c>
      <c r="AQ86" s="241">
        <v>209686</v>
      </c>
      <c r="AR86" s="229">
        <v>350000</v>
      </c>
      <c r="AS86" s="239"/>
      <c r="AT86" s="23"/>
      <c r="AU86" s="241"/>
      <c r="AV86" s="229"/>
      <c r="AW86" s="250"/>
    </row>
    <row r="87" spans="2:49" s="56" customFormat="1" x14ac:dyDescent="0.3">
      <c r="B87" s="225">
        <v>39724</v>
      </c>
      <c r="C87" s="124" t="s">
        <v>138</v>
      </c>
      <c r="D87" s="57" t="s">
        <v>116</v>
      </c>
      <c r="E87" s="57" t="s">
        <v>68</v>
      </c>
      <c r="F87" s="57" t="s">
        <v>53</v>
      </c>
      <c r="G87" s="14">
        <v>38425000</v>
      </c>
      <c r="H87" s="48">
        <v>10</v>
      </c>
      <c r="I87" s="47">
        <v>4866667</v>
      </c>
      <c r="J87" s="49">
        <v>21052393</v>
      </c>
      <c r="K87" s="50">
        <v>8</v>
      </c>
      <c r="L87" s="50">
        <v>19</v>
      </c>
      <c r="M87" s="23"/>
      <c r="N87" s="23"/>
      <c r="O87" s="59"/>
      <c r="P87" s="59"/>
      <c r="Q87" s="17"/>
      <c r="R87" s="23"/>
      <c r="S87" s="53"/>
      <c r="T87" s="14"/>
      <c r="U87" s="17"/>
      <c r="V87" s="23"/>
      <c r="W87" s="53"/>
      <c r="X87" s="14"/>
      <c r="Y87" s="23">
        <v>41</v>
      </c>
      <c r="Z87" s="23">
        <v>224</v>
      </c>
      <c r="AA87" s="53">
        <v>45032</v>
      </c>
      <c r="AB87" s="14">
        <v>3842500</v>
      </c>
      <c r="AC87" s="17">
        <v>38</v>
      </c>
      <c r="AD87" s="23">
        <v>224</v>
      </c>
      <c r="AE87" s="53">
        <v>48590</v>
      </c>
      <c r="AF87" s="14">
        <v>3799000</v>
      </c>
      <c r="AG87" s="232">
        <v>41</v>
      </c>
      <c r="AH87" s="23">
        <v>224</v>
      </c>
      <c r="AI87" s="241">
        <v>48036.55</v>
      </c>
      <c r="AJ87" s="229">
        <v>3842500</v>
      </c>
      <c r="AK87" s="239">
        <v>48</v>
      </c>
      <c r="AL87" s="23">
        <v>224</v>
      </c>
      <c r="AM87" s="241">
        <v>52697</v>
      </c>
      <c r="AN87" s="229">
        <v>3842500</v>
      </c>
      <c r="AO87" s="239">
        <v>45</v>
      </c>
      <c r="AP87" s="23">
        <v>224</v>
      </c>
      <c r="AQ87" s="241">
        <v>45510</v>
      </c>
      <c r="AR87" s="229">
        <v>3842500</v>
      </c>
      <c r="AS87" s="239">
        <v>43</v>
      </c>
      <c r="AT87" s="23">
        <v>224</v>
      </c>
      <c r="AU87" s="241">
        <v>56338</v>
      </c>
      <c r="AV87" s="229">
        <v>3842500</v>
      </c>
      <c r="AW87" s="250"/>
    </row>
    <row r="88" spans="2:49" s="56" customFormat="1" ht="31.2" x14ac:dyDescent="0.3">
      <c r="B88" s="225">
        <v>41513</v>
      </c>
      <c r="C88" s="124" t="s">
        <v>139</v>
      </c>
      <c r="D88" s="57" t="s">
        <v>140</v>
      </c>
      <c r="E88" s="57" t="s">
        <v>36</v>
      </c>
      <c r="F88" s="57" t="s">
        <v>53</v>
      </c>
      <c r="G88" s="14">
        <v>800000</v>
      </c>
      <c r="H88" s="48">
        <v>10</v>
      </c>
      <c r="I88" s="47">
        <v>293334</v>
      </c>
      <c r="J88" s="49">
        <v>1075888</v>
      </c>
      <c r="K88" s="50">
        <v>8</v>
      </c>
      <c r="L88" s="50">
        <v>19</v>
      </c>
      <c r="M88" s="23"/>
      <c r="N88" s="23"/>
      <c r="O88" s="59"/>
      <c r="P88" s="59"/>
      <c r="Q88" s="17"/>
      <c r="R88" s="23"/>
      <c r="S88" s="53"/>
      <c r="T88" s="14"/>
      <c r="U88" s="17"/>
      <c r="V88" s="23"/>
      <c r="W88" s="53"/>
      <c r="X88" s="14"/>
      <c r="Y88" s="17">
        <v>12</v>
      </c>
      <c r="Z88" s="23">
        <v>20</v>
      </c>
      <c r="AA88" s="53">
        <v>86756</v>
      </c>
      <c r="AB88" s="14">
        <v>80000</v>
      </c>
      <c r="AC88" s="17">
        <v>10</v>
      </c>
      <c r="AD88" s="23">
        <v>20</v>
      </c>
      <c r="AE88" s="53">
        <v>78542</v>
      </c>
      <c r="AF88" s="14">
        <v>75000</v>
      </c>
      <c r="AG88" s="232">
        <v>15</v>
      </c>
      <c r="AH88" s="23">
        <v>20</v>
      </c>
      <c r="AI88" s="241">
        <v>74989</v>
      </c>
      <c r="AJ88" s="229">
        <v>75000</v>
      </c>
      <c r="AK88" s="239"/>
      <c r="AL88" s="23"/>
      <c r="AM88" s="241"/>
      <c r="AN88" s="229"/>
      <c r="AO88" s="239"/>
      <c r="AP88" s="23"/>
      <c r="AQ88" s="241"/>
      <c r="AR88" s="229"/>
      <c r="AS88" s="239"/>
      <c r="AT88" s="23"/>
      <c r="AU88" s="241"/>
      <c r="AV88" s="229"/>
      <c r="AW88" s="250"/>
    </row>
    <row r="89" spans="2:49" s="56" customFormat="1" x14ac:dyDescent="0.3">
      <c r="B89" s="225">
        <v>41654</v>
      </c>
      <c r="C89" s="124" t="s">
        <v>141</v>
      </c>
      <c r="D89" s="57" t="s">
        <v>64</v>
      </c>
      <c r="E89" s="57" t="s">
        <v>22</v>
      </c>
      <c r="F89" s="57" t="s">
        <v>53</v>
      </c>
      <c r="G89" s="14">
        <v>15000000</v>
      </c>
      <c r="H89" s="48">
        <v>10</v>
      </c>
      <c r="I89" s="47">
        <v>1149080</v>
      </c>
      <c r="J89" s="49">
        <v>4514821</v>
      </c>
      <c r="K89" s="50">
        <v>10</v>
      </c>
      <c r="L89" s="50">
        <v>25</v>
      </c>
      <c r="M89" s="23"/>
      <c r="N89" s="23"/>
      <c r="O89" s="59"/>
      <c r="P89" s="59"/>
      <c r="Q89" s="17"/>
      <c r="R89" s="23"/>
      <c r="S89" s="53"/>
      <c r="T89" s="14"/>
      <c r="U89" s="17"/>
      <c r="V89" s="23"/>
      <c r="W89" s="53"/>
      <c r="X89" s="14"/>
      <c r="Y89" s="17">
        <v>200</v>
      </c>
      <c r="Z89" s="23">
        <v>0</v>
      </c>
      <c r="AA89" s="53">
        <v>40565</v>
      </c>
      <c r="AB89" s="14">
        <v>1500000</v>
      </c>
      <c r="AC89" s="17">
        <v>195</v>
      </c>
      <c r="AD89" s="23">
        <v>0</v>
      </c>
      <c r="AE89" s="53">
        <v>42149</v>
      </c>
      <c r="AF89" s="14">
        <v>1462500</v>
      </c>
      <c r="AG89" s="232">
        <v>181</v>
      </c>
      <c r="AH89" s="23">
        <v>0</v>
      </c>
      <c r="AI89" s="241">
        <v>41957.95</v>
      </c>
      <c r="AJ89" s="229">
        <v>1357500</v>
      </c>
      <c r="AK89" s="239">
        <v>124</v>
      </c>
      <c r="AL89" s="23">
        <v>0</v>
      </c>
      <c r="AM89" s="241">
        <v>44313</v>
      </c>
      <c r="AN89" s="229">
        <v>930000</v>
      </c>
      <c r="AO89" s="239">
        <v>119</v>
      </c>
      <c r="AP89" s="23">
        <v>0</v>
      </c>
      <c r="AQ89" s="241">
        <v>47496</v>
      </c>
      <c r="AR89" s="229">
        <v>892500</v>
      </c>
      <c r="AS89" s="239">
        <v>130</v>
      </c>
      <c r="AT89" s="23">
        <v>0</v>
      </c>
      <c r="AU89" s="241">
        <v>54049</v>
      </c>
      <c r="AV89" s="229">
        <v>975000</v>
      </c>
      <c r="AW89" s="250"/>
    </row>
    <row r="90" spans="2:49" s="56" customFormat="1" x14ac:dyDescent="0.3">
      <c r="B90" s="225">
        <v>41093</v>
      </c>
      <c r="C90" s="124" t="s">
        <v>142</v>
      </c>
      <c r="D90" s="57" t="s">
        <v>143</v>
      </c>
      <c r="E90" s="57" t="s">
        <v>144</v>
      </c>
      <c r="F90" s="57" t="s">
        <v>53</v>
      </c>
      <c r="G90" s="14">
        <v>1290000</v>
      </c>
      <c r="H90" s="48">
        <v>10</v>
      </c>
      <c r="I90" s="47">
        <v>320480</v>
      </c>
      <c r="J90" s="49">
        <v>354005</v>
      </c>
      <c r="K90" s="50">
        <v>35</v>
      </c>
      <c r="L90" s="50">
        <v>50</v>
      </c>
      <c r="M90" s="23"/>
      <c r="N90" s="23"/>
      <c r="O90" s="59"/>
      <c r="P90" s="59"/>
      <c r="Q90" s="17"/>
      <c r="R90" s="23"/>
      <c r="S90" s="53"/>
      <c r="T90" s="14"/>
      <c r="U90" s="17"/>
      <c r="V90" s="23"/>
      <c r="W90" s="53"/>
      <c r="X90" s="14"/>
      <c r="Y90" s="17">
        <v>43</v>
      </c>
      <c r="Z90" s="23">
        <v>0</v>
      </c>
      <c r="AA90" s="53">
        <v>57500</v>
      </c>
      <c r="AB90" s="14">
        <v>123000</v>
      </c>
      <c r="AC90" s="17">
        <v>51</v>
      </c>
      <c r="AD90" s="23">
        <v>0</v>
      </c>
      <c r="AE90" s="66">
        <v>52758</v>
      </c>
      <c r="AF90" s="14">
        <v>129000</v>
      </c>
      <c r="AG90" s="232">
        <v>62</v>
      </c>
      <c r="AH90" s="23">
        <v>0</v>
      </c>
      <c r="AI90" s="238">
        <v>61642.879999999997</v>
      </c>
      <c r="AJ90" s="229">
        <v>129000</v>
      </c>
      <c r="AK90" s="239">
        <v>64</v>
      </c>
      <c r="AL90" s="23">
        <v>0</v>
      </c>
      <c r="AM90" s="241">
        <v>62615.26</v>
      </c>
      <c r="AN90" s="229">
        <v>129000</v>
      </c>
      <c r="AO90" s="239">
        <v>56</v>
      </c>
      <c r="AP90" s="23">
        <v>0</v>
      </c>
      <c r="AQ90" s="241">
        <v>64917</v>
      </c>
      <c r="AR90" s="229">
        <v>129000</v>
      </c>
      <c r="AS90" s="239"/>
      <c r="AT90" s="23"/>
      <c r="AU90" s="241"/>
      <c r="AV90" s="229"/>
      <c r="AW90" s="250"/>
    </row>
    <row r="91" spans="2:49" s="56" customFormat="1" ht="31.2" x14ac:dyDescent="0.3">
      <c r="B91" s="225">
        <v>41526</v>
      </c>
      <c r="C91" s="58" t="s">
        <v>145</v>
      </c>
      <c r="D91" s="57" t="s">
        <v>64</v>
      </c>
      <c r="E91" s="57" t="s">
        <v>22</v>
      </c>
      <c r="F91" s="57" t="s">
        <v>53</v>
      </c>
      <c r="G91" s="14">
        <v>3600000</v>
      </c>
      <c r="H91" s="48">
        <v>10</v>
      </c>
      <c r="I91" s="47">
        <v>1585620</v>
      </c>
      <c r="J91" s="49">
        <v>3067920</v>
      </c>
      <c r="K91" s="50">
        <v>10</v>
      </c>
      <c r="L91" s="50">
        <v>25</v>
      </c>
      <c r="M91" s="23"/>
      <c r="N91" s="23"/>
      <c r="O91" s="59"/>
      <c r="P91" s="59"/>
      <c r="Q91" s="17"/>
      <c r="R91" s="23"/>
      <c r="S91" s="53"/>
      <c r="T91" s="14"/>
      <c r="U91" s="17"/>
      <c r="V91" s="23"/>
      <c r="W91" s="53"/>
      <c r="X91" s="14"/>
      <c r="Y91" s="17">
        <v>47</v>
      </c>
      <c r="Z91" s="23">
        <v>0</v>
      </c>
      <c r="AA91" s="53">
        <v>41227</v>
      </c>
      <c r="AB91" s="14">
        <v>352500</v>
      </c>
      <c r="AC91" s="17">
        <v>46</v>
      </c>
      <c r="AD91" s="23">
        <v>0</v>
      </c>
      <c r="AE91" s="53">
        <v>43997</v>
      </c>
      <c r="AF91" s="14">
        <v>345000</v>
      </c>
      <c r="AG91" s="232">
        <v>39</v>
      </c>
      <c r="AH91" s="23">
        <v>0</v>
      </c>
      <c r="AI91" s="241">
        <v>35838</v>
      </c>
      <c r="AJ91" s="229">
        <v>292500</v>
      </c>
      <c r="AK91" s="239">
        <v>38</v>
      </c>
      <c r="AL91" s="23">
        <v>0</v>
      </c>
      <c r="AM91" s="241">
        <v>36712</v>
      </c>
      <c r="AN91" s="229">
        <v>285000</v>
      </c>
      <c r="AO91" s="239">
        <v>32</v>
      </c>
      <c r="AP91" s="23">
        <v>0</v>
      </c>
      <c r="AQ91" s="241">
        <v>41689</v>
      </c>
      <c r="AR91" s="229">
        <v>225000</v>
      </c>
      <c r="AS91" s="239">
        <v>37</v>
      </c>
      <c r="AT91" s="23">
        <v>0</v>
      </c>
      <c r="AU91" s="241">
        <v>35776</v>
      </c>
      <c r="AV91" s="229">
        <v>225000</v>
      </c>
      <c r="AW91" s="250"/>
    </row>
    <row r="92" spans="2:49" s="56" customFormat="1" x14ac:dyDescent="0.3">
      <c r="B92" s="225">
        <v>43608</v>
      </c>
      <c r="C92" s="154" t="s">
        <v>146</v>
      </c>
      <c r="D92" s="57" t="s">
        <v>21</v>
      </c>
      <c r="E92" s="57" t="s">
        <v>22</v>
      </c>
      <c r="F92" s="57" t="s">
        <v>53</v>
      </c>
      <c r="G92" s="14">
        <v>4650000</v>
      </c>
      <c r="H92" s="48">
        <v>10</v>
      </c>
      <c r="I92" s="47">
        <v>713600</v>
      </c>
      <c r="J92" s="49">
        <v>1896283</v>
      </c>
      <c r="K92" s="50">
        <v>25</v>
      </c>
      <c r="L92" s="50">
        <v>35</v>
      </c>
      <c r="M92" s="23"/>
      <c r="N92" s="23"/>
      <c r="O92" s="59"/>
      <c r="P92" s="59"/>
      <c r="Q92" s="17"/>
      <c r="R92" s="23"/>
      <c r="S92" s="53"/>
      <c r="T92" s="14"/>
      <c r="U92" s="17"/>
      <c r="V92" s="23"/>
      <c r="W92" s="53"/>
      <c r="X92" s="14"/>
      <c r="Y92" s="17">
        <v>85</v>
      </c>
      <c r="Z92" s="23">
        <v>0</v>
      </c>
      <c r="AA92" s="53">
        <v>77725</v>
      </c>
      <c r="AB92" s="14">
        <v>465000</v>
      </c>
      <c r="AC92" s="17">
        <v>60</v>
      </c>
      <c r="AD92" s="23">
        <v>0</v>
      </c>
      <c r="AE92" s="53">
        <v>72306</v>
      </c>
      <c r="AF92" s="14">
        <v>465000</v>
      </c>
      <c r="AG92" s="232">
        <v>84</v>
      </c>
      <c r="AH92" s="23">
        <v>0</v>
      </c>
      <c r="AI92" s="241">
        <v>86542.77</v>
      </c>
      <c r="AJ92" s="229">
        <v>465000</v>
      </c>
      <c r="AK92" s="239">
        <v>82</v>
      </c>
      <c r="AL92" s="23">
        <v>0</v>
      </c>
      <c r="AM92" s="241">
        <v>85585.29</v>
      </c>
      <c r="AN92" s="229">
        <v>465000</v>
      </c>
      <c r="AO92" s="239">
        <v>72</v>
      </c>
      <c r="AP92" s="23">
        <v>0</v>
      </c>
      <c r="AQ92" s="241">
        <v>86524</v>
      </c>
      <c r="AR92" s="229">
        <v>450000</v>
      </c>
      <c r="AS92" s="239"/>
      <c r="AT92" s="23"/>
      <c r="AU92" s="241"/>
      <c r="AV92" s="229"/>
      <c r="AW92" s="250"/>
    </row>
    <row r="93" spans="2:49" s="56" customFormat="1" ht="31.2" x14ac:dyDescent="0.3">
      <c r="B93" s="225">
        <v>43164</v>
      </c>
      <c r="C93" s="58" t="s">
        <v>147</v>
      </c>
      <c r="D93" s="46" t="s">
        <v>21</v>
      </c>
      <c r="E93" s="57" t="s">
        <v>22</v>
      </c>
      <c r="F93" s="57" t="s">
        <v>53</v>
      </c>
      <c r="G93" s="14">
        <v>7920000</v>
      </c>
      <c r="H93" s="48">
        <v>10</v>
      </c>
      <c r="I93" s="47">
        <v>800000</v>
      </c>
      <c r="J93" s="49">
        <v>2801192</v>
      </c>
      <c r="K93" s="50">
        <v>35</v>
      </c>
      <c r="L93" s="50">
        <v>50</v>
      </c>
      <c r="M93" s="23"/>
      <c r="N93" s="23"/>
      <c r="O93" s="59"/>
      <c r="P93" s="59"/>
      <c r="Q93" s="17"/>
      <c r="R93" s="23"/>
      <c r="S93" s="53"/>
      <c r="T93" s="14"/>
      <c r="U93" s="17"/>
      <c r="V93" s="23"/>
      <c r="W93" s="53"/>
      <c r="X93" s="14"/>
      <c r="Y93" s="17">
        <v>94</v>
      </c>
      <c r="Z93" s="23">
        <v>0</v>
      </c>
      <c r="AA93" s="53">
        <v>146268</v>
      </c>
      <c r="AB93" s="14">
        <v>775500</v>
      </c>
      <c r="AC93" s="17">
        <v>94</v>
      </c>
      <c r="AD93" s="23">
        <v>0</v>
      </c>
      <c r="AE93" s="53">
        <v>148601</v>
      </c>
      <c r="AF93" s="14">
        <v>775500</v>
      </c>
      <c r="AG93" s="232">
        <v>97</v>
      </c>
      <c r="AH93" s="23">
        <v>0</v>
      </c>
      <c r="AI93" s="241">
        <v>149219.84</v>
      </c>
      <c r="AJ93" s="229">
        <v>792000</v>
      </c>
      <c r="AK93" s="239">
        <v>96</v>
      </c>
      <c r="AL93" s="23">
        <v>0</v>
      </c>
      <c r="AM93" s="241">
        <v>145377</v>
      </c>
      <c r="AN93" s="229">
        <v>768000</v>
      </c>
      <c r="AO93" s="239">
        <v>98</v>
      </c>
      <c r="AP93" s="23">
        <v>0</v>
      </c>
      <c r="AQ93" s="241">
        <v>158876</v>
      </c>
      <c r="AR93" s="229">
        <v>744000</v>
      </c>
      <c r="AS93" s="239">
        <v>97</v>
      </c>
      <c r="AT93" s="23">
        <v>0</v>
      </c>
      <c r="AU93" s="241">
        <v>171553</v>
      </c>
      <c r="AV93" s="229">
        <v>744000</v>
      </c>
      <c r="AW93" s="250"/>
    </row>
    <row r="94" spans="2:49" s="56" customFormat="1" x14ac:dyDescent="0.3">
      <c r="B94" s="225">
        <v>41380</v>
      </c>
      <c r="C94" s="197" t="s">
        <v>148</v>
      </c>
      <c r="D94" s="46" t="s">
        <v>149</v>
      </c>
      <c r="E94" s="57" t="s">
        <v>22</v>
      </c>
      <c r="F94" s="57" t="s">
        <v>53</v>
      </c>
      <c r="G94" s="14">
        <v>18756400</v>
      </c>
      <c r="H94" s="48">
        <v>10</v>
      </c>
      <c r="I94" s="47">
        <v>2399600</v>
      </c>
      <c r="J94" s="49">
        <v>9099805</v>
      </c>
      <c r="K94" s="50">
        <v>25</v>
      </c>
      <c r="L94" s="50">
        <v>35</v>
      </c>
      <c r="M94" s="23"/>
      <c r="N94" s="23"/>
      <c r="O94" s="59"/>
      <c r="P94" s="59"/>
      <c r="Q94" s="17"/>
      <c r="R94" s="23"/>
      <c r="S94" s="53"/>
      <c r="T94" s="14"/>
      <c r="U94" s="17"/>
      <c r="V94" s="23"/>
      <c r="W94" s="53"/>
      <c r="X94" s="14"/>
      <c r="Y94" s="17">
        <v>158</v>
      </c>
      <c r="Z94" s="23">
        <v>140</v>
      </c>
      <c r="AA94" s="53">
        <v>142857</v>
      </c>
      <c r="AB94" s="14">
        <v>1836140</v>
      </c>
      <c r="AC94" s="17">
        <v>151</v>
      </c>
      <c r="AD94" s="23">
        <v>140</v>
      </c>
      <c r="AE94" s="53">
        <v>147809.60999999999</v>
      </c>
      <c r="AF94" s="14">
        <v>1809140</v>
      </c>
      <c r="AG94" s="232">
        <v>158</v>
      </c>
      <c r="AH94" s="23">
        <v>140</v>
      </c>
      <c r="AI94" s="241">
        <v>134093.54999999999</v>
      </c>
      <c r="AJ94" s="229">
        <v>1796640</v>
      </c>
      <c r="AK94" s="239">
        <v>184</v>
      </c>
      <c r="AL94" s="23">
        <v>140</v>
      </c>
      <c r="AM94" s="241">
        <v>149979.59</v>
      </c>
      <c r="AN94" s="229">
        <v>1836140</v>
      </c>
      <c r="AO94" s="239">
        <v>154</v>
      </c>
      <c r="AP94" s="23">
        <v>140</v>
      </c>
      <c r="AQ94" s="241">
        <v>151942</v>
      </c>
      <c r="AR94" s="229">
        <v>1760640</v>
      </c>
      <c r="AS94" s="239">
        <v>130</v>
      </c>
      <c r="AT94" s="23">
        <v>140</v>
      </c>
      <c r="AU94" s="241">
        <v>158271</v>
      </c>
      <c r="AV94" s="229">
        <v>1544640</v>
      </c>
      <c r="AW94" s="250"/>
    </row>
    <row r="95" spans="2:49" s="56" customFormat="1" ht="46.8" x14ac:dyDescent="0.3">
      <c r="B95" s="225">
        <v>38764</v>
      </c>
      <c r="C95" s="199" t="s">
        <v>150</v>
      </c>
      <c r="D95" s="57" t="s">
        <v>77</v>
      </c>
      <c r="E95" s="57" t="s">
        <v>36</v>
      </c>
      <c r="F95" s="57" t="s">
        <v>53</v>
      </c>
      <c r="G95" s="14">
        <v>6247500</v>
      </c>
      <c r="H95" s="48">
        <v>10</v>
      </c>
      <c r="I95" s="47">
        <v>6764525</v>
      </c>
      <c r="J95" s="47">
        <v>10154854</v>
      </c>
      <c r="K95" s="50">
        <v>8</v>
      </c>
      <c r="L95" s="50">
        <v>19</v>
      </c>
      <c r="M95" s="23"/>
      <c r="N95" s="23"/>
      <c r="O95" s="59"/>
      <c r="P95" s="59"/>
      <c r="Q95" s="17"/>
      <c r="R95" s="23"/>
      <c r="S95" s="53"/>
      <c r="T95" s="14"/>
      <c r="U95" s="17"/>
      <c r="V95" s="23"/>
      <c r="W95" s="53"/>
      <c r="X95" s="14"/>
      <c r="Y95" s="17">
        <v>117</v>
      </c>
      <c r="Z95" s="23">
        <v>27</v>
      </c>
      <c r="AA95" s="66">
        <v>39832</v>
      </c>
      <c r="AB95" s="14">
        <v>624750</v>
      </c>
      <c r="AC95" s="17">
        <v>139</v>
      </c>
      <c r="AD95" s="23">
        <v>27</v>
      </c>
      <c r="AE95" s="53">
        <v>40310</v>
      </c>
      <c r="AF95" s="14">
        <v>624750</v>
      </c>
      <c r="AG95" s="232">
        <v>104</v>
      </c>
      <c r="AH95" s="23">
        <v>27</v>
      </c>
      <c r="AI95" s="241">
        <v>47445</v>
      </c>
      <c r="AJ95" s="229">
        <v>624750</v>
      </c>
      <c r="AK95" s="239"/>
      <c r="AL95" s="23"/>
      <c r="AM95" s="241"/>
      <c r="AN95" s="229"/>
      <c r="AO95" s="239"/>
      <c r="AP95" s="23"/>
      <c r="AQ95" s="241"/>
      <c r="AR95" s="229"/>
      <c r="AS95" s="239"/>
      <c r="AT95" s="23"/>
      <c r="AU95" s="241"/>
      <c r="AV95" s="229"/>
      <c r="AW95" s="250"/>
    </row>
    <row r="96" spans="2:49" s="56" customFormat="1" ht="31.2" x14ac:dyDescent="0.3">
      <c r="B96" s="225">
        <v>41641</v>
      </c>
      <c r="C96" s="197" t="s">
        <v>151</v>
      </c>
      <c r="D96" s="57" t="s">
        <v>16</v>
      </c>
      <c r="E96" s="57" t="s">
        <v>17</v>
      </c>
      <c r="F96" s="57" t="s">
        <v>53</v>
      </c>
      <c r="G96" s="14">
        <v>20325000</v>
      </c>
      <c r="H96" s="48">
        <v>10</v>
      </c>
      <c r="I96" s="47">
        <v>15097600</v>
      </c>
      <c r="J96" s="49">
        <v>33363652</v>
      </c>
      <c r="K96" s="50">
        <v>27</v>
      </c>
      <c r="L96" s="50">
        <v>38</v>
      </c>
      <c r="M96" s="23"/>
      <c r="N96" s="23"/>
      <c r="O96" s="59"/>
      <c r="P96" s="59"/>
      <c r="Q96" s="17"/>
      <c r="R96" s="23"/>
      <c r="S96" s="53"/>
      <c r="T96" s="14"/>
      <c r="U96" s="17"/>
      <c r="V96" s="23"/>
      <c r="W96" s="53"/>
      <c r="X96" s="14"/>
      <c r="Y96" s="17">
        <v>160</v>
      </c>
      <c r="Z96" s="23">
        <v>170</v>
      </c>
      <c r="AA96" s="53">
        <v>20157</v>
      </c>
      <c r="AB96" s="14">
        <v>1837500</v>
      </c>
      <c r="AC96" s="17">
        <v>160</v>
      </c>
      <c r="AD96" s="23">
        <v>170</v>
      </c>
      <c r="AE96" s="53">
        <v>21717</v>
      </c>
      <c r="AF96" s="14">
        <v>1837500</v>
      </c>
      <c r="AG96" s="232">
        <v>206</v>
      </c>
      <c r="AH96" s="23">
        <v>170</v>
      </c>
      <c r="AI96" s="238">
        <v>21243.71</v>
      </c>
      <c r="AJ96" s="229">
        <v>2032500</v>
      </c>
      <c r="AK96" s="239">
        <v>191</v>
      </c>
      <c r="AL96" s="23">
        <v>170</v>
      </c>
      <c r="AM96" s="241">
        <v>24986</v>
      </c>
      <c r="AN96" s="229">
        <v>2032500</v>
      </c>
      <c r="AO96" s="239"/>
      <c r="AP96" s="23"/>
      <c r="AQ96" s="241"/>
      <c r="AR96" s="229"/>
      <c r="AS96" s="239"/>
      <c r="AT96" s="23"/>
      <c r="AU96" s="241"/>
      <c r="AV96" s="229"/>
      <c r="AW96" s="250"/>
    </row>
    <row r="97" spans="2:49" s="56" customFormat="1" x14ac:dyDescent="0.3">
      <c r="B97" s="225">
        <v>42479</v>
      </c>
      <c r="C97" s="208" t="s">
        <v>152</v>
      </c>
      <c r="D97" s="57" t="s">
        <v>149</v>
      </c>
      <c r="E97" s="57" t="s">
        <v>22</v>
      </c>
      <c r="F97" s="57" t="s">
        <v>53</v>
      </c>
      <c r="G97" s="14">
        <v>27000000</v>
      </c>
      <c r="H97" s="48">
        <v>10</v>
      </c>
      <c r="I97" s="47">
        <v>3999000</v>
      </c>
      <c r="J97" s="49">
        <v>17620563</v>
      </c>
      <c r="K97" s="50">
        <v>10</v>
      </c>
      <c r="L97" s="50">
        <v>25</v>
      </c>
      <c r="M97" s="23"/>
      <c r="N97" s="23"/>
      <c r="O97" s="59"/>
      <c r="P97" s="59"/>
      <c r="Q97" s="17"/>
      <c r="R97" s="23"/>
      <c r="S97" s="53"/>
      <c r="T97" s="14"/>
      <c r="U97" s="17"/>
      <c r="V97" s="23"/>
      <c r="W97" s="53"/>
      <c r="X97" s="14"/>
      <c r="Y97" s="17">
        <v>271</v>
      </c>
      <c r="Z97" s="23">
        <v>0</v>
      </c>
      <c r="AA97" s="53">
        <v>115039.23</v>
      </c>
      <c r="AB97" s="14">
        <v>2371250</v>
      </c>
      <c r="AC97" s="17">
        <v>303</v>
      </c>
      <c r="AD97" s="23">
        <v>0</v>
      </c>
      <c r="AE97" s="53">
        <v>118247</v>
      </c>
      <c r="AF97" s="14">
        <v>2625000</v>
      </c>
      <c r="AG97" s="232">
        <v>277</v>
      </c>
      <c r="AH97" s="23">
        <v>0</v>
      </c>
      <c r="AI97" s="238">
        <v>124467.48</v>
      </c>
      <c r="AJ97" s="229">
        <v>2423750</v>
      </c>
      <c r="AK97" s="239"/>
      <c r="AL97" s="23"/>
      <c r="AM97" s="241"/>
      <c r="AN97" s="229"/>
      <c r="AO97" s="239"/>
      <c r="AP97" s="23"/>
      <c r="AQ97" s="241"/>
      <c r="AR97" s="229"/>
      <c r="AS97" s="239"/>
      <c r="AT97" s="23"/>
      <c r="AU97" s="241"/>
      <c r="AV97" s="229"/>
      <c r="AW97" s="250"/>
    </row>
    <row r="98" spans="2:49" s="56" customFormat="1" ht="18.600000000000001" customHeight="1" x14ac:dyDescent="0.3">
      <c r="B98" s="225">
        <v>40799</v>
      </c>
      <c r="C98" s="124" t="s">
        <v>153</v>
      </c>
      <c r="D98" s="57" t="s">
        <v>154</v>
      </c>
      <c r="E98" s="57" t="s">
        <v>62</v>
      </c>
      <c r="F98" s="57" t="s">
        <v>53</v>
      </c>
      <c r="G98" s="14">
        <v>6350000</v>
      </c>
      <c r="H98" s="48">
        <v>10</v>
      </c>
      <c r="I98" s="47">
        <v>2025920</v>
      </c>
      <c r="J98" s="49">
        <v>10068693</v>
      </c>
      <c r="K98" s="50">
        <v>25</v>
      </c>
      <c r="L98" s="50">
        <v>35</v>
      </c>
      <c r="M98" s="23"/>
      <c r="N98" s="23"/>
      <c r="O98" s="59"/>
      <c r="P98" s="59"/>
      <c r="Q98" s="17"/>
      <c r="R98" s="23"/>
      <c r="S98" s="53"/>
      <c r="T98" s="14"/>
      <c r="U98" s="17"/>
      <c r="V98" s="23"/>
      <c r="W98" s="53"/>
      <c r="X98" s="14"/>
      <c r="Y98" s="17"/>
      <c r="Z98" s="23"/>
      <c r="AA98" s="53"/>
      <c r="AB98" s="14"/>
      <c r="AC98" s="17">
        <v>102</v>
      </c>
      <c r="AD98" s="23">
        <v>0</v>
      </c>
      <c r="AE98" s="53">
        <v>116644.56</v>
      </c>
      <c r="AF98" s="14">
        <v>510000</v>
      </c>
      <c r="AG98" s="232">
        <v>111</v>
      </c>
      <c r="AH98" s="23">
        <v>0</v>
      </c>
      <c r="AI98" s="241">
        <v>130562.33</v>
      </c>
      <c r="AJ98" s="229">
        <v>527250</v>
      </c>
      <c r="AK98" s="239">
        <v>108</v>
      </c>
      <c r="AL98" s="23">
        <v>0</v>
      </c>
      <c r="AM98" s="241">
        <v>96594</v>
      </c>
      <c r="AN98" s="229">
        <v>513000</v>
      </c>
      <c r="AO98" s="239">
        <v>124</v>
      </c>
      <c r="AP98" s="23">
        <v>0</v>
      </c>
      <c r="AQ98" s="241">
        <v>114617</v>
      </c>
      <c r="AR98" s="229">
        <v>589000</v>
      </c>
      <c r="AS98" s="239">
        <v>137</v>
      </c>
      <c r="AT98" s="23">
        <v>0</v>
      </c>
      <c r="AU98" s="241">
        <v>117003</v>
      </c>
      <c r="AV98" s="229">
        <v>603250</v>
      </c>
      <c r="AW98" s="250"/>
    </row>
    <row r="99" spans="2:49" s="56" customFormat="1" ht="31.2" x14ac:dyDescent="0.3">
      <c r="B99" s="225">
        <v>43143</v>
      </c>
      <c r="C99" s="124" t="s">
        <v>155</v>
      </c>
      <c r="D99" s="57" t="s">
        <v>36</v>
      </c>
      <c r="E99" s="57" t="s">
        <v>36</v>
      </c>
      <c r="F99" s="57" t="s">
        <v>53</v>
      </c>
      <c r="G99" s="14">
        <v>4050000</v>
      </c>
      <c r="H99" s="48">
        <v>10</v>
      </c>
      <c r="I99" s="47">
        <v>226667</v>
      </c>
      <c r="J99" s="49">
        <v>1669543</v>
      </c>
      <c r="K99" s="50">
        <v>8</v>
      </c>
      <c r="L99" s="50">
        <v>19</v>
      </c>
      <c r="M99" s="23"/>
      <c r="N99" s="23"/>
      <c r="O99" s="59"/>
      <c r="P99" s="59"/>
      <c r="Q99" s="17"/>
      <c r="R99" s="23"/>
      <c r="S99" s="53"/>
      <c r="T99" s="14"/>
      <c r="U99" s="17"/>
      <c r="V99" s="23"/>
      <c r="W99" s="53"/>
      <c r="X99" s="14"/>
      <c r="Y99" s="17"/>
      <c r="Z99" s="23"/>
      <c r="AA99" s="53"/>
      <c r="AB99" s="14"/>
      <c r="AC99" s="17">
        <v>28</v>
      </c>
      <c r="AD99" s="23">
        <v>0</v>
      </c>
      <c r="AE99" s="53">
        <v>52000</v>
      </c>
      <c r="AF99" s="14">
        <v>405000</v>
      </c>
      <c r="AG99" s="232">
        <v>25</v>
      </c>
      <c r="AH99" s="23">
        <v>0</v>
      </c>
      <c r="AI99" s="241">
        <v>60599.79</v>
      </c>
      <c r="AJ99" s="229">
        <v>375000</v>
      </c>
      <c r="AK99" s="239">
        <v>26</v>
      </c>
      <c r="AL99" s="23">
        <v>0</v>
      </c>
      <c r="AM99" s="241">
        <v>57720</v>
      </c>
      <c r="AN99" s="229">
        <v>390000</v>
      </c>
      <c r="AO99" s="239">
        <v>28</v>
      </c>
      <c r="AP99" s="23">
        <v>0</v>
      </c>
      <c r="AQ99" s="241">
        <v>56515</v>
      </c>
      <c r="AR99" s="229">
        <v>405000</v>
      </c>
      <c r="AS99" s="239">
        <v>32</v>
      </c>
      <c r="AT99" s="23">
        <v>0</v>
      </c>
      <c r="AU99" s="241">
        <v>55000</v>
      </c>
      <c r="AV99" s="229">
        <v>405000</v>
      </c>
      <c r="AW99" s="250"/>
    </row>
    <row r="100" spans="2:49" s="56" customFormat="1" x14ac:dyDescent="0.3">
      <c r="B100" s="225">
        <v>43883</v>
      </c>
      <c r="C100" s="124" t="s">
        <v>156</v>
      </c>
      <c r="D100" s="57" t="s">
        <v>154</v>
      </c>
      <c r="E100" s="57" t="s">
        <v>62</v>
      </c>
      <c r="F100" s="57" t="s">
        <v>53</v>
      </c>
      <c r="G100" s="14">
        <v>8250000</v>
      </c>
      <c r="H100" s="48">
        <v>10</v>
      </c>
      <c r="I100" s="47">
        <v>660000</v>
      </c>
      <c r="J100" s="49">
        <v>1093624</v>
      </c>
      <c r="K100" s="50">
        <v>10</v>
      </c>
      <c r="L100" s="50">
        <v>25</v>
      </c>
      <c r="M100" s="23"/>
      <c r="N100" s="23"/>
      <c r="O100" s="59"/>
      <c r="P100" s="59"/>
      <c r="Q100" s="17"/>
      <c r="R100" s="23"/>
      <c r="S100" s="53"/>
      <c r="T100" s="14"/>
      <c r="U100" s="17"/>
      <c r="V100" s="23"/>
      <c r="W100" s="53"/>
      <c r="X100" s="14"/>
      <c r="Y100" s="17"/>
      <c r="Z100" s="23"/>
      <c r="AA100" s="53"/>
      <c r="AB100" s="14"/>
      <c r="AC100" s="17">
        <v>129</v>
      </c>
      <c r="AD100" s="23">
        <v>0</v>
      </c>
      <c r="AE100" s="53">
        <v>25212</v>
      </c>
      <c r="AF100" s="14">
        <v>825000</v>
      </c>
      <c r="AG100" s="232">
        <v>110</v>
      </c>
      <c r="AH100" s="23">
        <v>0</v>
      </c>
      <c r="AI100" s="241">
        <v>27040</v>
      </c>
      <c r="AJ100" s="229">
        <v>825000</v>
      </c>
      <c r="AK100" s="239">
        <v>187</v>
      </c>
      <c r="AL100" s="23">
        <v>0</v>
      </c>
      <c r="AM100" s="241">
        <v>28635.78</v>
      </c>
      <c r="AN100" s="229">
        <v>825000</v>
      </c>
      <c r="AO100" s="239">
        <v>149</v>
      </c>
      <c r="AP100" s="23">
        <v>0</v>
      </c>
      <c r="AQ100" s="241">
        <v>31200</v>
      </c>
      <c r="AR100" s="229">
        <v>825000</v>
      </c>
      <c r="AS100" s="239">
        <v>146</v>
      </c>
      <c r="AT100" s="23">
        <v>0</v>
      </c>
      <c r="AU100" s="241">
        <v>35360</v>
      </c>
      <c r="AV100" s="229">
        <v>825000</v>
      </c>
      <c r="AW100" s="250"/>
    </row>
    <row r="101" spans="2:49" s="56" customFormat="1" x14ac:dyDescent="0.3">
      <c r="B101" s="225">
        <v>43024</v>
      </c>
      <c r="C101" s="124" t="s">
        <v>157</v>
      </c>
      <c r="D101" s="57" t="s">
        <v>158</v>
      </c>
      <c r="E101" s="57" t="s">
        <v>62</v>
      </c>
      <c r="F101" s="57" t="s">
        <v>53</v>
      </c>
      <c r="G101" s="14">
        <v>9750000</v>
      </c>
      <c r="H101" s="48">
        <v>10</v>
      </c>
      <c r="I101" s="47">
        <v>1291200</v>
      </c>
      <c r="J101" s="49">
        <v>1954655</v>
      </c>
      <c r="K101" s="50">
        <v>10</v>
      </c>
      <c r="L101" s="50">
        <v>25</v>
      </c>
      <c r="M101" s="23"/>
      <c r="N101" s="23"/>
      <c r="O101" s="59"/>
      <c r="P101" s="59"/>
      <c r="Q101" s="17"/>
      <c r="R101" s="23"/>
      <c r="S101" s="53"/>
      <c r="T101" s="14"/>
      <c r="U101" s="17"/>
      <c r="V101" s="23"/>
      <c r="W101" s="53"/>
      <c r="X101" s="14"/>
      <c r="Y101" s="17"/>
      <c r="Z101" s="23"/>
      <c r="AA101" s="53"/>
      <c r="AB101" s="14"/>
      <c r="AC101" s="17">
        <v>149</v>
      </c>
      <c r="AD101" s="23">
        <v>0</v>
      </c>
      <c r="AE101" s="53">
        <v>24000</v>
      </c>
      <c r="AF101" s="14">
        <v>968500</v>
      </c>
      <c r="AG101" s="232">
        <v>132</v>
      </c>
      <c r="AH101" s="23">
        <v>0</v>
      </c>
      <c r="AI101" s="241">
        <v>20250</v>
      </c>
      <c r="AJ101" s="229">
        <v>858000</v>
      </c>
      <c r="AK101" s="239">
        <v>110</v>
      </c>
      <c r="AL101" s="23">
        <v>0</v>
      </c>
      <c r="AM101" s="241">
        <v>21840</v>
      </c>
      <c r="AN101" s="229">
        <v>715000</v>
      </c>
      <c r="AO101" s="239">
        <v>106</v>
      </c>
      <c r="AP101" s="23">
        <v>0</v>
      </c>
      <c r="AQ101" s="241">
        <v>23415</v>
      </c>
      <c r="AR101" s="229">
        <v>689000</v>
      </c>
      <c r="AS101" s="239"/>
      <c r="AT101" s="23"/>
      <c r="AU101" s="241"/>
      <c r="AV101" s="229"/>
      <c r="AW101" s="250"/>
    </row>
    <row r="102" spans="2:49" s="56" customFormat="1" x14ac:dyDescent="0.3">
      <c r="B102" s="225">
        <v>42753</v>
      </c>
      <c r="C102" s="58" t="s">
        <v>159</v>
      </c>
      <c r="D102" s="46" t="s">
        <v>21</v>
      </c>
      <c r="E102" s="57" t="s">
        <v>22</v>
      </c>
      <c r="F102" s="57" t="s">
        <v>53</v>
      </c>
      <c r="G102" s="14">
        <v>5758740</v>
      </c>
      <c r="H102" s="48">
        <v>10</v>
      </c>
      <c r="I102" s="47">
        <v>935600</v>
      </c>
      <c r="J102" s="49">
        <v>2196631</v>
      </c>
      <c r="K102" s="50">
        <v>25</v>
      </c>
      <c r="L102" s="50">
        <v>35</v>
      </c>
      <c r="M102" s="23"/>
      <c r="N102" s="23"/>
      <c r="O102" s="59"/>
      <c r="P102" s="59"/>
      <c r="Q102" s="17"/>
      <c r="R102" s="23"/>
      <c r="S102" s="53"/>
      <c r="T102" s="14"/>
      <c r="U102" s="17"/>
      <c r="V102" s="23"/>
      <c r="W102" s="53"/>
      <c r="X102" s="14"/>
      <c r="Y102" s="17"/>
      <c r="Z102" s="23"/>
      <c r="AA102" s="53"/>
      <c r="AB102" s="14"/>
      <c r="AC102" s="17">
        <v>56</v>
      </c>
      <c r="AD102" s="23">
        <v>102</v>
      </c>
      <c r="AE102" s="53">
        <v>65000</v>
      </c>
      <c r="AF102" s="14">
        <v>470874</v>
      </c>
      <c r="AG102" s="232"/>
      <c r="AH102" s="23"/>
      <c r="AI102" s="241"/>
      <c r="AJ102" s="229"/>
      <c r="AK102" s="239"/>
      <c r="AL102" s="23"/>
      <c r="AM102" s="241"/>
      <c r="AN102" s="229"/>
      <c r="AO102" s="239"/>
      <c r="AP102" s="23"/>
      <c r="AQ102" s="241"/>
      <c r="AR102" s="229"/>
      <c r="AS102" s="239"/>
      <c r="AT102" s="23"/>
      <c r="AU102" s="241"/>
      <c r="AV102" s="229"/>
      <c r="AW102" s="250"/>
    </row>
    <row r="103" spans="2:49" s="56" customFormat="1" x14ac:dyDescent="0.3">
      <c r="B103" s="225">
        <v>44671</v>
      </c>
      <c r="C103" s="197" t="s">
        <v>160</v>
      </c>
      <c r="D103" s="57" t="s">
        <v>36</v>
      </c>
      <c r="E103" s="57" t="s">
        <v>36</v>
      </c>
      <c r="F103" s="57" t="s">
        <v>53</v>
      </c>
      <c r="G103" s="14">
        <v>2636680</v>
      </c>
      <c r="H103" s="48">
        <v>10</v>
      </c>
      <c r="I103" s="47">
        <v>219574</v>
      </c>
      <c r="J103" s="49">
        <v>610357</v>
      </c>
      <c r="K103" s="50">
        <v>19</v>
      </c>
      <c r="L103" s="50">
        <v>27</v>
      </c>
      <c r="M103" s="23"/>
      <c r="N103" s="23"/>
      <c r="O103" s="59"/>
      <c r="P103" s="59"/>
      <c r="Q103" s="17"/>
      <c r="R103" s="23"/>
      <c r="S103" s="53"/>
      <c r="T103" s="14"/>
      <c r="U103" s="17"/>
      <c r="V103" s="23"/>
      <c r="W103" s="53"/>
      <c r="X103" s="14"/>
      <c r="Y103" s="17"/>
      <c r="Z103" s="23"/>
      <c r="AA103" s="53"/>
      <c r="AB103" s="14"/>
      <c r="AC103" s="17">
        <v>0</v>
      </c>
      <c r="AD103" s="23">
        <v>29</v>
      </c>
      <c r="AE103" s="53">
        <v>66301</v>
      </c>
      <c r="AF103" s="14">
        <v>263668</v>
      </c>
      <c r="AG103" s="23">
        <v>0</v>
      </c>
      <c r="AH103" s="23">
        <v>28</v>
      </c>
      <c r="AI103" s="241">
        <v>56113.32</v>
      </c>
      <c r="AJ103" s="229">
        <v>254576</v>
      </c>
      <c r="AK103" s="23">
        <v>0</v>
      </c>
      <c r="AL103" s="23">
        <v>27</v>
      </c>
      <c r="AM103" s="241">
        <v>57332</v>
      </c>
      <c r="AN103" s="229">
        <v>234063</v>
      </c>
      <c r="AO103" s="239">
        <v>0</v>
      </c>
      <c r="AP103" s="23">
        <v>27</v>
      </c>
      <c r="AQ103" s="241">
        <v>57572</v>
      </c>
      <c r="AR103" s="229">
        <v>234063</v>
      </c>
      <c r="AS103" s="239"/>
      <c r="AT103" s="23"/>
      <c r="AU103" s="241"/>
      <c r="AV103" s="229"/>
      <c r="AW103" s="250"/>
    </row>
    <row r="104" spans="2:49" s="56" customFormat="1" ht="31.2" x14ac:dyDescent="0.3">
      <c r="B104" s="225">
        <v>39142</v>
      </c>
      <c r="C104" s="199" t="s">
        <v>161</v>
      </c>
      <c r="D104" s="57" t="s">
        <v>112</v>
      </c>
      <c r="E104" s="57" t="s">
        <v>113</v>
      </c>
      <c r="F104" s="57" t="s">
        <v>53</v>
      </c>
      <c r="G104" s="14">
        <v>6555000</v>
      </c>
      <c r="H104" s="48">
        <v>10</v>
      </c>
      <c r="I104" s="47">
        <v>1056000</v>
      </c>
      <c r="J104" s="49">
        <v>11120528</v>
      </c>
      <c r="K104" s="50">
        <v>35</v>
      </c>
      <c r="L104" s="50">
        <v>50</v>
      </c>
      <c r="M104" s="23"/>
      <c r="N104" s="23"/>
      <c r="O104" s="59"/>
      <c r="P104" s="59"/>
      <c r="Q104" s="17"/>
      <c r="R104" s="23"/>
      <c r="S104" s="53"/>
      <c r="T104" s="14"/>
      <c r="U104" s="17"/>
      <c r="V104" s="23"/>
      <c r="W104" s="53"/>
      <c r="X104" s="14"/>
      <c r="Y104" s="17"/>
      <c r="Z104" s="23"/>
      <c r="AA104" s="53"/>
      <c r="AB104" s="14"/>
      <c r="AC104" s="17">
        <v>82</v>
      </c>
      <c r="AD104" s="23">
        <v>0</v>
      </c>
      <c r="AE104" s="53">
        <v>60008</v>
      </c>
      <c r="AF104" s="14">
        <v>655500</v>
      </c>
      <c r="AG104" s="232">
        <v>88</v>
      </c>
      <c r="AH104" s="23">
        <v>9</v>
      </c>
      <c r="AI104" s="241">
        <v>37960</v>
      </c>
      <c r="AJ104" s="229">
        <v>655500</v>
      </c>
      <c r="AK104" s="239"/>
      <c r="AL104" s="23"/>
      <c r="AM104" s="241"/>
      <c r="AN104" s="229"/>
      <c r="AO104" s="239"/>
      <c r="AP104" s="23"/>
      <c r="AQ104" s="241"/>
      <c r="AR104" s="229"/>
      <c r="AS104" s="239"/>
      <c r="AT104" s="23"/>
      <c r="AU104" s="241"/>
      <c r="AV104" s="229"/>
      <c r="AW104" s="250"/>
    </row>
    <row r="105" spans="2:49" s="56" customFormat="1" x14ac:dyDescent="0.3">
      <c r="B105" s="225">
        <v>39706</v>
      </c>
      <c r="C105" s="197" t="s">
        <v>162</v>
      </c>
      <c r="D105" s="46" t="s">
        <v>72</v>
      </c>
      <c r="E105" s="57" t="s">
        <v>73</v>
      </c>
      <c r="F105" s="57" t="s">
        <v>53</v>
      </c>
      <c r="G105" s="14">
        <v>13770000</v>
      </c>
      <c r="H105" s="48">
        <v>10</v>
      </c>
      <c r="I105" s="47">
        <v>1020000</v>
      </c>
      <c r="J105" s="49">
        <v>22178279</v>
      </c>
      <c r="K105" s="50">
        <v>8</v>
      </c>
      <c r="L105" s="50">
        <v>19</v>
      </c>
      <c r="M105" s="23"/>
      <c r="N105" s="23"/>
      <c r="O105" s="59"/>
      <c r="P105" s="59"/>
      <c r="Q105" s="17"/>
      <c r="R105" s="23"/>
      <c r="S105" s="53"/>
      <c r="T105" s="14"/>
      <c r="U105" s="17"/>
      <c r="V105" s="23"/>
      <c r="W105" s="53"/>
      <c r="X105" s="14"/>
      <c r="Y105" s="17"/>
      <c r="Z105" s="23"/>
      <c r="AA105" s="53"/>
      <c r="AB105" s="14"/>
      <c r="AC105" s="17">
        <v>93</v>
      </c>
      <c r="AD105" s="23">
        <v>70</v>
      </c>
      <c r="AE105" s="53">
        <v>25239</v>
      </c>
      <c r="AF105" s="14">
        <v>1088000</v>
      </c>
      <c r="AG105" s="232">
        <v>118</v>
      </c>
      <c r="AH105" s="23">
        <v>70</v>
      </c>
      <c r="AI105" s="241">
        <v>23712</v>
      </c>
      <c r="AJ105" s="229">
        <v>1300500</v>
      </c>
      <c r="AK105" s="239">
        <v>122</v>
      </c>
      <c r="AL105" s="23">
        <v>70</v>
      </c>
      <c r="AM105" s="241">
        <v>28600</v>
      </c>
      <c r="AN105" s="229">
        <v>1334500</v>
      </c>
      <c r="AO105" s="239">
        <v>91</v>
      </c>
      <c r="AP105" s="23">
        <v>70</v>
      </c>
      <c r="AQ105" s="241">
        <v>31720</v>
      </c>
      <c r="AR105" s="229">
        <v>1071000</v>
      </c>
      <c r="AS105" s="239"/>
      <c r="AT105" s="23"/>
      <c r="AU105" s="241"/>
      <c r="AV105" s="229"/>
      <c r="AW105" s="250"/>
    </row>
    <row r="106" spans="2:49" s="56" customFormat="1" x14ac:dyDescent="0.3">
      <c r="B106" s="225">
        <v>41318</v>
      </c>
      <c r="C106" s="197" t="s">
        <v>163</v>
      </c>
      <c r="D106" s="46" t="s">
        <v>164</v>
      </c>
      <c r="E106" s="57" t="s">
        <v>45</v>
      </c>
      <c r="F106" s="57" t="s">
        <v>53</v>
      </c>
      <c r="G106" s="14">
        <v>3656000</v>
      </c>
      <c r="H106" s="48">
        <v>10</v>
      </c>
      <c r="I106" s="47">
        <v>1103720</v>
      </c>
      <c r="J106" s="49">
        <v>1642167</v>
      </c>
      <c r="K106" s="50">
        <v>25</v>
      </c>
      <c r="L106" s="50">
        <v>35</v>
      </c>
      <c r="M106" s="23"/>
      <c r="N106" s="23"/>
      <c r="O106" s="59"/>
      <c r="P106" s="59"/>
      <c r="Q106" s="17"/>
      <c r="R106" s="23"/>
      <c r="S106" s="53"/>
      <c r="T106" s="14"/>
      <c r="U106" s="17"/>
      <c r="V106" s="23"/>
      <c r="W106" s="53"/>
      <c r="X106" s="14"/>
      <c r="Y106" s="17"/>
      <c r="Z106" s="23"/>
      <c r="AA106" s="53"/>
      <c r="AB106" s="14"/>
      <c r="AC106" s="17">
        <v>83</v>
      </c>
      <c r="AD106" s="23">
        <v>100</v>
      </c>
      <c r="AE106" s="53">
        <v>101375</v>
      </c>
      <c r="AF106" s="14">
        <v>365600</v>
      </c>
      <c r="AG106" s="232">
        <v>58</v>
      </c>
      <c r="AH106" s="23">
        <v>100</v>
      </c>
      <c r="AI106" s="241">
        <v>113479</v>
      </c>
      <c r="AJ106" s="229">
        <v>297600</v>
      </c>
      <c r="AK106" s="239">
        <v>94</v>
      </c>
      <c r="AL106" s="23">
        <v>100</v>
      </c>
      <c r="AM106" s="241">
        <v>116656</v>
      </c>
      <c r="AN106" s="229">
        <v>365600</v>
      </c>
      <c r="AO106" s="239">
        <v>123</v>
      </c>
      <c r="AP106" s="23">
        <v>100</v>
      </c>
      <c r="AQ106" s="241">
        <v>135851</v>
      </c>
      <c r="AR106" s="229">
        <v>365600</v>
      </c>
      <c r="AS106" s="239"/>
      <c r="AT106" s="23"/>
      <c r="AU106" s="241"/>
      <c r="AV106" s="229"/>
      <c r="AW106" s="250"/>
    </row>
    <row r="107" spans="2:49" s="56" customFormat="1" ht="31.2" x14ac:dyDescent="0.3">
      <c r="B107" s="225">
        <v>41251</v>
      </c>
      <c r="C107" s="197" t="s">
        <v>165</v>
      </c>
      <c r="D107" s="57" t="s">
        <v>96</v>
      </c>
      <c r="E107" s="57" t="s">
        <v>97</v>
      </c>
      <c r="F107" s="57" t="s">
        <v>53</v>
      </c>
      <c r="G107" s="14">
        <v>2695000</v>
      </c>
      <c r="H107" s="48">
        <v>10</v>
      </c>
      <c r="I107" s="47">
        <v>319414</v>
      </c>
      <c r="J107" s="49">
        <v>1043000</v>
      </c>
      <c r="K107" s="50">
        <v>19</v>
      </c>
      <c r="L107" s="50">
        <v>27</v>
      </c>
      <c r="M107" s="23"/>
      <c r="N107" s="23"/>
      <c r="O107" s="59"/>
      <c r="P107" s="59"/>
      <c r="Q107" s="17"/>
      <c r="R107" s="23"/>
      <c r="S107" s="53"/>
      <c r="T107" s="14"/>
      <c r="U107" s="17"/>
      <c r="V107" s="23"/>
      <c r="W107" s="53"/>
      <c r="X107" s="14"/>
      <c r="Y107" s="17"/>
      <c r="Z107" s="23"/>
      <c r="AA107" s="53"/>
      <c r="AB107" s="14"/>
      <c r="AC107" s="17">
        <v>49</v>
      </c>
      <c r="AD107" s="23">
        <v>0</v>
      </c>
      <c r="AE107" s="53">
        <v>31096</v>
      </c>
      <c r="AF107" s="14">
        <v>269500</v>
      </c>
      <c r="AG107" s="232"/>
      <c r="AH107" s="23"/>
      <c r="AI107" s="241"/>
      <c r="AJ107" s="229"/>
      <c r="AK107" s="239"/>
      <c r="AL107" s="23"/>
      <c r="AM107" s="241"/>
      <c r="AN107" s="229"/>
      <c r="AO107" s="239"/>
      <c r="AP107" s="23"/>
      <c r="AQ107" s="241"/>
      <c r="AR107" s="229"/>
      <c r="AS107" s="239"/>
      <c r="AT107" s="23"/>
      <c r="AU107" s="241"/>
      <c r="AV107" s="229"/>
      <c r="AW107" s="250"/>
    </row>
    <row r="108" spans="2:49" s="56" customFormat="1" x14ac:dyDescent="0.3">
      <c r="B108" s="225">
        <v>40027</v>
      </c>
      <c r="C108" s="197" t="s">
        <v>166</v>
      </c>
      <c r="D108" s="57" t="s">
        <v>167</v>
      </c>
      <c r="E108" s="57" t="s">
        <v>62</v>
      </c>
      <c r="F108" s="57" t="s">
        <v>53</v>
      </c>
      <c r="G108" s="14">
        <v>6454520</v>
      </c>
      <c r="H108" s="48">
        <v>10</v>
      </c>
      <c r="I108" s="47">
        <v>2025920</v>
      </c>
      <c r="J108" s="49">
        <v>5800584</v>
      </c>
      <c r="K108" s="50">
        <v>25</v>
      </c>
      <c r="L108" s="50">
        <v>35</v>
      </c>
      <c r="M108" s="23"/>
      <c r="N108" s="23"/>
      <c r="O108" s="59"/>
      <c r="P108" s="59"/>
      <c r="Q108" s="17"/>
      <c r="R108" s="23"/>
      <c r="S108" s="53"/>
      <c r="T108" s="14"/>
      <c r="U108" s="17"/>
      <c r="V108" s="23"/>
      <c r="W108" s="53"/>
      <c r="X108" s="14"/>
      <c r="Y108" s="17"/>
      <c r="Z108" s="23"/>
      <c r="AA108" s="53"/>
      <c r="AB108" s="14"/>
      <c r="AC108" s="17">
        <v>30</v>
      </c>
      <c r="AD108" s="23">
        <v>276</v>
      </c>
      <c r="AE108" s="53">
        <v>143673.71</v>
      </c>
      <c r="AF108" s="14">
        <v>551952</v>
      </c>
      <c r="AG108" s="232">
        <v>17</v>
      </c>
      <c r="AH108" s="23">
        <v>276</v>
      </c>
      <c r="AI108" s="241">
        <v>144019</v>
      </c>
      <c r="AJ108" s="229">
        <v>480452</v>
      </c>
      <c r="AK108" s="239">
        <v>0</v>
      </c>
      <c r="AL108" s="23">
        <v>259</v>
      </c>
      <c r="AM108" s="241">
        <v>128675</v>
      </c>
      <c r="AN108" s="229">
        <v>363118</v>
      </c>
      <c r="AO108" s="239"/>
      <c r="AP108" s="23"/>
      <c r="AQ108" s="241"/>
      <c r="AR108" s="229"/>
      <c r="AS108" s="239"/>
      <c r="AT108" s="23"/>
      <c r="AU108" s="241"/>
      <c r="AV108" s="229"/>
      <c r="AW108" s="250"/>
    </row>
    <row r="109" spans="2:49" s="56" customFormat="1" x14ac:dyDescent="0.3">
      <c r="B109" s="225">
        <v>40230</v>
      </c>
      <c r="C109" s="197" t="s">
        <v>168</v>
      </c>
      <c r="D109" s="57" t="s">
        <v>21</v>
      </c>
      <c r="E109" s="57" t="s">
        <v>22</v>
      </c>
      <c r="F109" s="57" t="s">
        <v>53</v>
      </c>
      <c r="G109" s="14">
        <v>17737500</v>
      </c>
      <c r="H109" s="48">
        <v>10</v>
      </c>
      <c r="I109" s="47">
        <v>15660040</v>
      </c>
      <c r="J109" s="49">
        <v>20073637</v>
      </c>
      <c r="K109" s="50">
        <v>35</v>
      </c>
      <c r="L109" s="50">
        <v>50</v>
      </c>
      <c r="M109" s="23"/>
      <c r="N109" s="23"/>
      <c r="O109" s="59"/>
      <c r="P109" s="59"/>
      <c r="Q109" s="17"/>
      <c r="R109" s="23"/>
      <c r="S109" s="53"/>
      <c r="T109" s="14"/>
      <c r="U109" s="17"/>
      <c r="V109" s="23"/>
      <c r="W109" s="53"/>
      <c r="X109" s="14"/>
      <c r="Y109" s="17"/>
      <c r="Z109" s="23"/>
      <c r="AA109" s="53"/>
      <c r="AB109" s="14"/>
      <c r="AC109" s="17">
        <v>104</v>
      </c>
      <c r="AD109" s="23">
        <v>430</v>
      </c>
      <c r="AE109" s="53">
        <v>138300</v>
      </c>
      <c r="AF109" s="14">
        <v>1744875</v>
      </c>
      <c r="AG109" s="232">
        <v>157</v>
      </c>
      <c r="AH109" s="23">
        <v>430</v>
      </c>
      <c r="AI109" s="241">
        <v>108025</v>
      </c>
      <c r="AJ109" s="229">
        <v>1773750</v>
      </c>
      <c r="AK109" s="239">
        <v>171</v>
      </c>
      <c r="AL109" s="23">
        <v>430</v>
      </c>
      <c r="AM109" s="241">
        <v>93802.14</v>
      </c>
      <c r="AN109" s="229">
        <v>1720000</v>
      </c>
      <c r="AO109" s="239">
        <v>132</v>
      </c>
      <c r="AP109" s="23">
        <v>430</v>
      </c>
      <c r="AQ109" s="241">
        <v>93839</v>
      </c>
      <c r="AR109" s="229">
        <v>1666250</v>
      </c>
      <c r="AS109" s="239">
        <v>65</v>
      </c>
      <c r="AT109" s="23">
        <v>430</v>
      </c>
      <c r="AU109" s="241">
        <v>100543</v>
      </c>
      <c r="AV109" s="229">
        <v>1720000</v>
      </c>
      <c r="AW109" s="250"/>
    </row>
    <row r="110" spans="2:49" s="56" customFormat="1" x14ac:dyDescent="0.3">
      <c r="B110" s="225">
        <v>39890</v>
      </c>
      <c r="C110" s="199" t="s">
        <v>169</v>
      </c>
      <c r="D110" s="57" t="s">
        <v>81</v>
      </c>
      <c r="E110" s="57" t="s">
        <v>82</v>
      </c>
      <c r="F110" s="57" t="s">
        <v>53</v>
      </c>
      <c r="G110" s="14">
        <v>11656250</v>
      </c>
      <c r="H110" s="48">
        <v>10</v>
      </c>
      <c r="I110" s="47">
        <v>4800000</v>
      </c>
      <c r="J110" s="49">
        <v>15360000</v>
      </c>
      <c r="K110" s="50">
        <v>27</v>
      </c>
      <c r="L110" s="50">
        <v>38</v>
      </c>
      <c r="M110" s="23"/>
      <c r="N110" s="23"/>
      <c r="O110" s="59"/>
      <c r="P110" s="59"/>
      <c r="Q110" s="17"/>
      <c r="R110" s="23"/>
      <c r="S110" s="53"/>
      <c r="T110" s="14"/>
      <c r="U110" s="17"/>
      <c r="V110" s="23"/>
      <c r="W110" s="53"/>
      <c r="X110" s="14"/>
      <c r="Y110" s="17"/>
      <c r="Z110" s="23"/>
      <c r="AA110" s="53"/>
      <c r="AB110" s="14"/>
      <c r="AC110" s="17">
        <v>72</v>
      </c>
      <c r="AD110" s="23">
        <v>227</v>
      </c>
      <c r="AE110" s="53">
        <v>43500</v>
      </c>
      <c r="AF110" s="14">
        <v>1141375</v>
      </c>
      <c r="AG110" s="232">
        <v>73</v>
      </c>
      <c r="AH110" s="23">
        <v>227</v>
      </c>
      <c r="AI110" s="241">
        <v>47450</v>
      </c>
      <c r="AJ110" s="229">
        <v>1137250</v>
      </c>
      <c r="AK110" s="239">
        <v>73</v>
      </c>
      <c r="AL110" s="23">
        <v>227</v>
      </c>
      <c r="AM110" s="241">
        <v>49550</v>
      </c>
      <c r="AN110" s="229">
        <v>1165625</v>
      </c>
      <c r="AO110" s="239">
        <v>75</v>
      </c>
      <c r="AP110" s="23">
        <v>227</v>
      </c>
      <c r="AQ110" s="241">
        <v>55040</v>
      </c>
      <c r="AR110" s="229">
        <v>1165625</v>
      </c>
      <c r="AS110" s="239">
        <v>104</v>
      </c>
      <c r="AT110" s="23">
        <v>227</v>
      </c>
      <c r="AU110" s="241">
        <v>67225</v>
      </c>
      <c r="AV110" s="229">
        <v>1165625</v>
      </c>
      <c r="AW110" s="250"/>
    </row>
    <row r="111" spans="2:49" s="56" customFormat="1" x14ac:dyDescent="0.3">
      <c r="B111" s="225">
        <v>42712</v>
      </c>
      <c r="C111" s="197" t="s">
        <v>170</v>
      </c>
      <c r="D111" s="57" t="s">
        <v>77</v>
      </c>
      <c r="E111" s="57" t="s">
        <v>36</v>
      </c>
      <c r="F111" s="57" t="s">
        <v>53</v>
      </c>
      <c r="G111" s="14">
        <v>7000000</v>
      </c>
      <c r="H111" s="48">
        <v>10</v>
      </c>
      <c r="I111" s="47">
        <v>533334</v>
      </c>
      <c r="J111" s="49">
        <v>1311000</v>
      </c>
      <c r="K111" s="50">
        <v>8</v>
      </c>
      <c r="L111" s="50">
        <v>19</v>
      </c>
      <c r="M111" s="23"/>
      <c r="N111" s="23"/>
      <c r="O111" s="59"/>
      <c r="P111" s="59"/>
      <c r="Q111" s="17"/>
      <c r="R111" s="23"/>
      <c r="S111" s="53"/>
      <c r="T111" s="14"/>
      <c r="U111" s="17"/>
      <c r="V111" s="23"/>
      <c r="W111" s="53"/>
      <c r="X111" s="14"/>
      <c r="Y111" s="17"/>
      <c r="Z111" s="23"/>
      <c r="AA111" s="53"/>
      <c r="AB111" s="14"/>
      <c r="AC111" s="17">
        <v>62</v>
      </c>
      <c r="AD111" s="23">
        <v>0</v>
      </c>
      <c r="AE111" s="53">
        <v>36824</v>
      </c>
      <c r="AF111" s="14">
        <v>620000</v>
      </c>
      <c r="AG111" s="232">
        <v>70</v>
      </c>
      <c r="AH111" s="23">
        <v>0</v>
      </c>
      <c r="AI111" s="241">
        <v>44618</v>
      </c>
      <c r="AJ111" s="229">
        <v>700000</v>
      </c>
      <c r="AK111" s="239">
        <v>70</v>
      </c>
      <c r="AL111" s="23">
        <v>0</v>
      </c>
      <c r="AM111" s="241">
        <v>43195</v>
      </c>
      <c r="AN111" s="229">
        <v>700000</v>
      </c>
      <c r="AO111" s="239">
        <v>76</v>
      </c>
      <c r="AP111" s="23">
        <v>0</v>
      </c>
      <c r="AQ111" s="241">
        <v>50157</v>
      </c>
      <c r="AR111" s="229">
        <v>700000</v>
      </c>
      <c r="AS111" s="239">
        <v>76</v>
      </c>
      <c r="AT111" s="23">
        <v>0</v>
      </c>
      <c r="AU111" s="241">
        <v>58043</v>
      </c>
      <c r="AV111" s="229">
        <v>700000</v>
      </c>
      <c r="AW111" s="250"/>
    </row>
    <row r="112" spans="2:49" s="56" customFormat="1" ht="31.2" x14ac:dyDescent="0.3">
      <c r="B112" s="225">
        <v>44784</v>
      </c>
      <c r="C112" s="199" t="s">
        <v>171</v>
      </c>
      <c r="D112" s="46" t="s">
        <v>21</v>
      </c>
      <c r="E112" s="46" t="s">
        <v>22</v>
      </c>
      <c r="F112" s="57" t="s">
        <v>53</v>
      </c>
      <c r="G112" s="14">
        <v>4950000</v>
      </c>
      <c r="H112" s="48">
        <v>10</v>
      </c>
      <c r="I112" s="47">
        <v>530000</v>
      </c>
      <c r="J112" s="49">
        <v>690866</v>
      </c>
      <c r="K112" s="50">
        <v>25</v>
      </c>
      <c r="L112" s="50">
        <v>35</v>
      </c>
      <c r="M112" s="23"/>
      <c r="N112" s="23"/>
      <c r="O112" s="59"/>
      <c r="P112" s="59"/>
      <c r="Q112" s="17"/>
      <c r="R112" s="23"/>
      <c r="S112" s="53"/>
      <c r="T112" s="14"/>
      <c r="U112" s="17"/>
      <c r="V112" s="23"/>
      <c r="W112" s="53"/>
      <c r="X112" s="14"/>
      <c r="Y112" s="17"/>
      <c r="Z112" s="23"/>
      <c r="AA112" s="53"/>
      <c r="AB112" s="14"/>
      <c r="AC112" s="17">
        <v>66</v>
      </c>
      <c r="AD112" s="23">
        <v>0</v>
      </c>
      <c r="AE112" s="53">
        <v>55000</v>
      </c>
      <c r="AF112" s="14">
        <v>495000</v>
      </c>
      <c r="AG112" s="232">
        <v>66</v>
      </c>
      <c r="AH112" s="23">
        <v>0</v>
      </c>
      <c r="AI112" s="241">
        <v>55000</v>
      </c>
      <c r="AJ112" s="229">
        <v>495000</v>
      </c>
      <c r="AK112" s="239"/>
      <c r="AL112" s="23"/>
      <c r="AM112" s="241"/>
      <c r="AN112" s="229"/>
      <c r="AO112" s="239"/>
      <c r="AP112" s="23"/>
      <c r="AQ112" s="241"/>
      <c r="AR112" s="229"/>
      <c r="AS112" s="239"/>
      <c r="AT112" s="23"/>
      <c r="AU112" s="241"/>
      <c r="AV112" s="229"/>
      <c r="AW112" s="250"/>
    </row>
    <row r="113" spans="2:49" s="56" customFormat="1" x14ac:dyDescent="0.3">
      <c r="B113" s="225">
        <v>42216</v>
      </c>
      <c r="C113" s="57" t="s">
        <v>172</v>
      </c>
      <c r="D113" s="46" t="s">
        <v>21</v>
      </c>
      <c r="E113" s="46" t="s">
        <v>22</v>
      </c>
      <c r="F113" s="57" t="s">
        <v>53</v>
      </c>
      <c r="G113" s="14">
        <v>2480000</v>
      </c>
      <c r="H113" s="48">
        <v>10</v>
      </c>
      <c r="I113" s="47">
        <v>520000</v>
      </c>
      <c r="J113" s="49">
        <v>2601592</v>
      </c>
      <c r="K113" s="50">
        <v>25</v>
      </c>
      <c r="L113" s="50">
        <v>35</v>
      </c>
      <c r="M113" s="23"/>
      <c r="N113" s="23"/>
      <c r="O113" s="59"/>
      <c r="P113" s="59"/>
      <c r="Q113" s="17"/>
      <c r="R113" s="23"/>
      <c r="S113" s="53"/>
      <c r="T113" s="14"/>
      <c r="U113" s="17"/>
      <c r="V113" s="23"/>
      <c r="W113" s="53"/>
      <c r="X113" s="14"/>
      <c r="Y113" s="17"/>
      <c r="Z113" s="23"/>
      <c r="AA113" s="53"/>
      <c r="AB113" s="14"/>
      <c r="AC113" s="17">
        <v>33</v>
      </c>
      <c r="AD113" s="23">
        <v>0</v>
      </c>
      <c r="AE113" s="53">
        <v>81600</v>
      </c>
      <c r="AF113" s="14">
        <v>248000</v>
      </c>
      <c r="AG113" s="232">
        <v>27</v>
      </c>
      <c r="AH113" s="23">
        <v>0</v>
      </c>
      <c r="AI113" s="241">
        <v>102721</v>
      </c>
      <c r="AJ113" s="229">
        <v>209250</v>
      </c>
      <c r="AK113" s="239"/>
      <c r="AL113" s="23"/>
      <c r="AM113" s="241"/>
      <c r="AN113" s="229"/>
      <c r="AO113" s="239"/>
      <c r="AP113" s="23"/>
      <c r="AQ113" s="241"/>
      <c r="AR113" s="229"/>
      <c r="AS113" s="239"/>
      <c r="AT113" s="23"/>
      <c r="AU113" s="241"/>
      <c r="AV113" s="14"/>
      <c r="AW113" s="250"/>
    </row>
    <row r="114" spans="2:49" s="56" customFormat="1" ht="31.2" x14ac:dyDescent="0.3">
      <c r="B114" s="225">
        <v>42397</v>
      </c>
      <c r="C114" s="197" t="s">
        <v>173</v>
      </c>
      <c r="D114" s="22"/>
      <c r="E114" s="22"/>
      <c r="F114" s="57" t="s">
        <v>53</v>
      </c>
      <c r="G114" s="14">
        <v>10312500</v>
      </c>
      <c r="H114" s="48">
        <v>10</v>
      </c>
      <c r="I114" s="47">
        <v>1854400</v>
      </c>
      <c r="J114" s="49">
        <v>7614167</v>
      </c>
      <c r="K114" s="50">
        <v>25</v>
      </c>
      <c r="L114" s="50">
        <v>35</v>
      </c>
      <c r="M114" s="23"/>
      <c r="N114" s="23"/>
      <c r="O114" s="59"/>
      <c r="P114" s="59"/>
      <c r="Q114" s="17"/>
      <c r="R114" s="23"/>
      <c r="S114" s="53"/>
      <c r="T114" s="14"/>
      <c r="U114" s="17"/>
      <c r="V114" s="23"/>
      <c r="W114" s="53"/>
      <c r="X114" s="14"/>
      <c r="Y114" s="17"/>
      <c r="Z114" s="23"/>
      <c r="AA114" s="53"/>
      <c r="AB114" s="14"/>
      <c r="AC114" s="17">
        <v>121</v>
      </c>
      <c r="AD114" s="23">
        <v>0</v>
      </c>
      <c r="AE114" s="53">
        <v>114585</v>
      </c>
      <c r="AF114" s="14">
        <f>968000+30250</f>
        <v>998250</v>
      </c>
      <c r="AG114" s="232">
        <v>111</v>
      </c>
      <c r="AH114" s="23">
        <v>0</v>
      </c>
      <c r="AI114" s="241">
        <v>123550</v>
      </c>
      <c r="AJ114" s="229">
        <v>915750</v>
      </c>
      <c r="AK114" s="239">
        <v>107</v>
      </c>
      <c r="AL114" s="23">
        <v>0</v>
      </c>
      <c r="AM114" s="241">
        <v>132219</v>
      </c>
      <c r="AN114" s="229">
        <v>882750</v>
      </c>
      <c r="AO114" s="239">
        <v>101</v>
      </c>
      <c r="AP114" s="23">
        <v>0</v>
      </c>
      <c r="AQ114" s="241">
        <v>145122</v>
      </c>
      <c r="AR114" s="229">
        <v>833250</v>
      </c>
      <c r="AS114" s="239">
        <v>113</v>
      </c>
      <c r="AT114" s="23">
        <v>0</v>
      </c>
      <c r="AU114" s="241">
        <v>146681</v>
      </c>
      <c r="AV114" s="229">
        <v>932250</v>
      </c>
      <c r="AW114" s="250"/>
    </row>
    <row r="115" spans="2:49" s="56" customFormat="1" x14ac:dyDescent="0.3">
      <c r="B115" s="225">
        <v>39523</v>
      </c>
      <c r="C115" s="199" t="s">
        <v>174</v>
      </c>
      <c r="D115" s="46" t="s">
        <v>24</v>
      </c>
      <c r="E115" s="46" t="s">
        <v>22</v>
      </c>
      <c r="F115" s="57" t="s">
        <v>53</v>
      </c>
      <c r="G115" s="14">
        <v>10875000</v>
      </c>
      <c r="H115" s="48">
        <v>10</v>
      </c>
      <c r="I115" s="47">
        <v>3420000</v>
      </c>
      <c r="J115" s="49">
        <v>18417623</v>
      </c>
      <c r="K115" s="50">
        <v>10</v>
      </c>
      <c r="L115" s="50">
        <v>25</v>
      </c>
      <c r="M115" s="23"/>
      <c r="N115" s="23"/>
      <c r="O115" s="59"/>
      <c r="P115" s="59"/>
      <c r="Q115" s="17"/>
      <c r="R115" s="23"/>
      <c r="S115" s="53"/>
      <c r="T115" s="14"/>
      <c r="U115" s="17"/>
      <c r="V115" s="23"/>
      <c r="W115" s="23"/>
      <c r="X115" s="14"/>
      <c r="Y115" s="17"/>
      <c r="Z115" s="23"/>
      <c r="AA115" s="23"/>
      <c r="AB115" s="14"/>
      <c r="AC115" s="17">
        <v>141</v>
      </c>
      <c r="AD115" s="23">
        <v>0</v>
      </c>
      <c r="AE115" s="23">
        <v>37871</v>
      </c>
      <c r="AF115" s="14">
        <v>1057500</v>
      </c>
      <c r="AG115" s="232">
        <v>143</v>
      </c>
      <c r="AH115" s="23">
        <v>0</v>
      </c>
      <c r="AI115" s="23">
        <v>30925.55</v>
      </c>
      <c r="AJ115" s="229">
        <v>1072500</v>
      </c>
      <c r="AK115" s="239">
        <v>157</v>
      </c>
      <c r="AL115" s="23">
        <v>0</v>
      </c>
      <c r="AM115" s="241">
        <v>39405</v>
      </c>
      <c r="AN115" s="229">
        <v>1087500</v>
      </c>
      <c r="AO115" s="239">
        <v>185</v>
      </c>
      <c r="AP115" s="23">
        <v>0</v>
      </c>
      <c r="AQ115" s="241">
        <v>36826</v>
      </c>
      <c r="AR115" s="229">
        <v>1087500</v>
      </c>
      <c r="AS115" s="239">
        <v>202</v>
      </c>
      <c r="AT115" s="23">
        <v>0</v>
      </c>
      <c r="AU115" s="241">
        <v>44469</v>
      </c>
      <c r="AV115" s="229">
        <v>1087500</v>
      </c>
      <c r="AW115" s="250"/>
    </row>
    <row r="116" spans="2:49" s="56" customFormat="1" x14ac:dyDescent="0.3">
      <c r="B116" s="225">
        <v>41577</v>
      </c>
      <c r="C116" s="197" t="s">
        <v>175</v>
      </c>
      <c r="D116" s="46" t="s">
        <v>77</v>
      </c>
      <c r="E116" s="46" t="s">
        <v>36</v>
      </c>
      <c r="F116" s="57" t="s">
        <v>53</v>
      </c>
      <c r="G116" s="14">
        <v>2520000</v>
      </c>
      <c r="H116" s="48">
        <v>10</v>
      </c>
      <c r="I116" s="47">
        <v>782374</v>
      </c>
      <c r="J116" s="49">
        <v>5169454</v>
      </c>
      <c r="K116" s="50">
        <v>8</v>
      </c>
      <c r="L116" s="50">
        <v>19</v>
      </c>
      <c r="M116" s="23"/>
      <c r="N116" s="23"/>
      <c r="O116" s="59"/>
      <c r="P116" s="59"/>
      <c r="Q116" s="17"/>
      <c r="R116" s="23"/>
      <c r="S116" s="53"/>
      <c r="T116" s="14"/>
      <c r="U116" s="17"/>
      <c r="V116" s="23"/>
      <c r="W116" s="23"/>
      <c r="X116" s="14"/>
      <c r="Y116" s="17"/>
      <c r="Z116" s="23"/>
      <c r="AA116" s="23"/>
      <c r="AB116" s="14"/>
      <c r="AC116" s="17">
        <v>23</v>
      </c>
      <c r="AD116" s="23">
        <v>1</v>
      </c>
      <c r="AE116" s="23">
        <v>48111.28</v>
      </c>
      <c r="AF116" s="14">
        <v>241500</v>
      </c>
      <c r="AG116" s="232">
        <v>22</v>
      </c>
      <c r="AH116" s="23">
        <v>1</v>
      </c>
      <c r="AI116" s="23">
        <v>51423</v>
      </c>
      <c r="AJ116" s="229">
        <v>231000</v>
      </c>
      <c r="AK116" s="239">
        <v>24</v>
      </c>
      <c r="AL116" s="23">
        <v>1</v>
      </c>
      <c r="AM116" s="241">
        <v>57063</v>
      </c>
      <c r="AN116" s="229">
        <v>252000</v>
      </c>
      <c r="AO116" s="239">
        <v>29</v>
      </c>
      <c r="AP116" s="23">
        <v>1</v>
      </c>
      <c r="AQ116" s="241">
        <v>63266</v>
      </c>
      <c r="AR116" s="229">
        <v>252000</v>
      </c>
      <c r="AS116" s="239">
        <v>37</v>
      </c>
      <c r="AT116" s="23">
        <v>1</v>
      </c>
      <c r="AU116" s="241">
        <v>71516</v>
      </c>
      <c r="AV116" s="229">
        <v>252000</v>
      </c>
      <c r="AW116" s="250"/>
    </row>
    <row r="117" spans="2:49" s="56" customFormat="1" x14ac:dyDescent="0.3">
      <c r="B117" s="225">
        <v>44616</v>
      </c>
      <c r="C117" s="199" t="s">
        <v>176</v>
      </c>
      <c r="D117" s="46" t="s">
        <v>36</v>
      </c>
      <c r="E117" s="46" t="s">
        <v>36</v>
      </c>
      <c r="F117" s="57" t="s">
        <v>53</v>
      </c>
      <c r="G117" s="14">
        <v>13200000</v>
      </c>
      <c r="H117" s="48">
        <v>10</v>
      </c>
      <c r="I117" s="49">
        <v>714854</v>
      </c>
      <c r="J117" s="49">
        <v>1026996</v>
      </c>
      <c r="K117" s="50">
        <v>19</v>
      </c>
      <c r="L117" s="50">
        <v>27</v>
      </c>
      <c r="M117" s="23"/>
      <c r="N117" s="23"/>
      <c r="O117" s="59"/>
      <c r="P117" s="59"/>
      <c r="Q117" s="17"/>
      <c r="R117" s="23"/>
      <c r="S117" s="53"/>
      <c r="T117" s="14"/>
      <c r="U117" s="17"/>
      <c r="V117" s="23"/>
      <c r="W117" s="23"/>
      <c r="X117" s="14"/>
      <c r="Y117" s="17"/>
      <c r="Z117" s="23"/>
      <c r="AA117" s="23"/>
      <c r="AB117" s="14"/>
      <c r="AC117" s="17">
        <v>0</v>
      </c>
      <c r="AD117" s="23">
        <v>113</v>
      </c>
      <c r="AE117" s="23">
        <v>68706</v>
      </c>
      <c r="AF117" s="14">
        <v>1243000</v>
      </c>
      <c r="AG117" s="232">
        <v>3</v>
      </c>
      <c r="AH117" s="23">
        <v>117</v>
      </c>
      <c r="AI117" s="23">
        <v>75000</v>
      </c>
      <c r="AJ117" s="229">
        <v>1290000</v>
      </c>
      <c r="AK117" s="239">
        <v>9</v>
      </c>
      <c r="AL117" s="23">
        <v>117</v>
      </c>
      <c r="AM117" s="241">
        <v>72039</v>
      </c>
      <c r="AN117" s="229">
        <v>1290000</v>
      </c>
      <c r="AO117" s="239">
        <v>11</v>
      </c>
      <c r="AP117" s="23">
        <v>117</v>
      </c>
      <c r="AQ117" s="241">
        <v>80413</v>
      </c>
      <c r="AR117" s="229">
        <v>1290000</v>
      </c>
      <c r="AS117" s="239">
        <v>7</v>
      </c>
      <c r="AT117" s="23">
        <v>117</v>
      </c>
      <c r="AU117" s="241">
        <v>88804</v>
      </c>
      <c r="AV117" s="229">
        <v>1320000</v>
      </c>
      <c r="AW117" s="250"/>
    </row>
    <row r="118" spans="2:49" s="56" customFormat="1" x14ac:dyDescent="0.3">
      <c r="B118" s="225">
        <v>41774</v>
      </c>
      <c r="C118" s="200" t="s">
        <v>177</v>
      </c>
      <c r="D118" s="57" t="s">
        <v>112</v>
      </c>
      <c r="E118" s="57" t="s">
        <v>113</v>
      </c>
      <c r="F118" s="57" t="s">
        <v>53</v>
      </c>
      <c r="G118" s="14">
        <v>39060000</v>
      </c>
      <c r="H118" s="48">
        <v>10</v>
      </c>
      <c r="I118" s="47">
        <v>42364980</v>
      </c>
      <c r="J118" s="49">
        <v>54660000</v>
      </c>
      <c r="K118" s="50">
        <v>10</v>
      </c>
      <c r="L118" s="50">
        <v>25</v>
      </c>
      <c r="M118" s="23"/>
      <c r="N118" s="23"/>
      <c r="O118" s="59"/>
      <c r="P118" s="59"/>
      <c r="Q118" s="17"/>
      <c r="R118" s="23"/>
      <c r="S118" s="53"/>
      <c r="T118" s="14"/>
      <c r="U118" s="17"/>
      <c r="V118" s="23"/>
      <c r="W118" s="53"/>
      <c r="X118" s="14"/>
      <c r="Y118" s="17"/>
      <c r="Z118" s="23"/>
      <c r="AA118" s="53"/>
      <c r="AB118" s="14"/>
      <c r="AC118" s="17">
        <v>305</v>
      </c>
      <c r="AD118" s="23">
        <v>336</v>
      </c>
      <c r="AE118" s="66">
        <v>24960</v>
      </c>
      <c r="AF118" s="14">
        <v>3906000</v>
      </c>
      <c r="AG118" s="232">
        <v>266</v>
      </c>
      <c r="AH118" s="23">
        <v>336</v>
      </c>
      <c r="AI118" s="238">
        <v>28080</v>
      </c>
      <c r="AJ118" s="229">
        <v>3906000</v>
      </c>
      <c r="AK118" s="239">
        <v>350</v>
      </c>
      <c r="AL118" s="23">
        <v>336</v>
      </c>
      <c r="AM118" s="241">
        <v>26037</v>
      </c>
      <c r="AN118" s="229">
        <v>3906000</v>
      </c>
      <c r="AO118" s="239">
        <v>306</v>
      </c>
      <c r="AP118" s="23">
        <v>336</v>
      </c>
      <c r="AQ118" s="241">
        <v>31118</v>
      </c>
      <c r="AR118" s="229">
        <v>3906000</v>
      </c>
      <c r="AS118" s="239">
        <v>326</v>
      </c>
      <c r="AT118" s="23">
        <v>336</v>
      </c>
      <c r="AU118" s="241">
        <v>33800</v>
      </c>
      <c r="AV118" s="229">
        <v>3906000</v>
      </c>
      <c r="AW118" s="250"/>
    </row>
    <row r="119" spans="2:49" s="56" customFormat="1" x14ac:dyDescent="0.3">
      <c r="B119" s="225">
        <v>43388</v>
      </c>
      <c r="C119" s="209" t="s">
        <v>178</v>
      </c>
      <c r="D119" s="57" t="s">
        <v>116</v>
      </c>
      <c r="E119" s="57" t="s">
        <v>68</v>
      </c>
      <c r="F119" s="57" t="s">
        <v>53</v>
      </c>
      <c r="G119" s="14">
        <v>8400000</v>
      </c>
      <c r="H119" s="48">
        <v>10</v>
      </c>
      <c r="I119" s="47">
        <v>471067</v>
      </c>
      <c r="J119" s="47">
        <v>3206301</v>
      </c>
      <c r="K119" s="50">
        <v>8</v>
      </c>
      <c r="L119" s="50">
        <v>19</v>
      </c>
      <c r="M119" s="23"/>
      <c r="N119" s="23"/>
      <c r="O119" s="59"/>
      <c r="P119" s="59"/>
      <c r="Q119" s="17"/>
      <c r="R119" s="23"/>
      <c r="S119" s="53"/>
      <c r="T119" s="14"/>
      <c r="U119" s="17"/>
      <c r="V119" s="23"/>
      <c r="W119" s="53"/>
      <c r="X119" s="14"/>
      <c r="Y119" s="14"/>
      <c r="Z119" s="14"/>
      <c r="AA119" s="14"/>
      <c r="AB119" s="14"/>
      <c r="AC119" s="23">
        <v>27</v>
      </c>
      <c r="AD119" s="23">
        <v>30</v>
      </c>
      <c r="AE119" s="53">
        <v>20020</v>
      </c>
      <c r="AF119" s="14">
        <v>798000</v>
      </c>
      <c r="AG119" s="23">
        <v>30</v>
      </c>
      <c r="AH119" s="23">
        <v>30</v>
      </c>
      <c r="AI119" s="241">
        <v>43618.42</v>
      </c>
      <c r="AJ119" s="229">
        <v>840000</v>
      </c>
      <c r="AK119" s="239">
        <v>19</v>
      </c>
      <c r="AL119" s="23">
        <v>30</v>
      </c>
      <c r="AM119" s="241">
        <v>34502</v>
      </c>
      <c r="AN119" s="229">
        <v>686000</v>
      </c>
      <c r="AO119" s="239">
        <v>27</v>
      </c>
      <c r="AP119" s="23">
        <v>30</v>
      </c>
      <c r="AQ119" s="241">
        <v>34840</v>
      </c>
      <c r="AR119" s="241">
        <v>798000</v>
      </c>
      <c r="AS119" s="239">
        <v>35</v>
      </c>
      <c r="AT119" s="23">
        <v>30</v>
      </c>
      <c r="AU119" s="241">
        <v>35360</v>
      </c>
      <c r="AV119" s="229">
        <v>840000</v>
      </c>
      <c r="AW119" s="250"/>
    </row>
    <row r="120" spans="2:49" s="56" customFormat="1" x14ac:dyDescent="0.3">
      <c r="B120" s="225">
        <v>40683</v>
      </c>
      <c r="C120" s="197" t="s">
        <v>179</v>
      </c>
      <c r="D120" s="57" t="s">
        <v>81</v>
      </c>
      <c r="E120" s="57" t="s">
        <v>82</v>
      </c>
      <c r="F120" s="57" t="s">
        <v>53</v>
      </c>
      <c r="G120" s="14">
        <v>2385000</v>
      </c>
      <c r="H120" s="48">
        <v>10</v>
      </c>
      <c r="I120" s="47">
        <v>1066667</v>
      </c>
      <c r="J120" s="49">
        <v>2750000</v>
      </c>
      <c r="K120" s="50">
        <v>8</v>
      </c>
      <c r="L120" s="50">
        <v>19</v>
      </c>
      <c r="M120" s="23"/>
      <c r="N120" s="23"/>
      <c r="O120" s="59"/>
      <c r="P120" s="59"/>
      <c r="Q120" s="17"/>
      <c r="R120" s="23"/>
      <c r="S120" s="53"/>
      <c r="T120" s="14"/>
      <c r="U120" s="17"/>
      <c r="V120" s="23"/>
      <c r="W120" s="53"/>
      <c r="X120" s="14"/>
      <c r="Y120" s="17"/>
      <c r="Z120" s="23"/>
      <c r="AA120" s="53"/>
      <c r="AB120" s="14"/>
      <c r="AC120" s="17">
        <v>14</v>
      </c>
      <c r="AD120" s="17">
        <v>25</v>
      </c>
      <c r="AE120" s="66">
        <v>30420</v>
      </c>
      <c r="AF120" s="14">
        <v>238500</v>
      </c>
      <c r="AG120" s="232">
        <v>15</v>
      </c>
      <c r="AH120" s="232">
        <v>25</v>
      </c>
      <c r="AI120" s="238">
        <v>63354.2</v>
      </c>
      <c r="AJ120" s="229">
        <v>238500</v>
      </c>
      <c r="AK120" s="239">
        <v>16</v>
      </c>
      <c r="AL120" s="23">
        <v>25</v>
      </c>
      <c r="AM120" s="241">
        <v>70878.490000000005</v>
      </c>
      <c r="AN120" s="229">
        <v>238500</v>
      </c>
      <c r="AO120" s="239"/>
      <c r="AP120" s="23"/>
      <c r="AQ120" s="241"/>
      <c r="AR120" s="229"/>
      <c r="AS120" s="239"/>
      <c r="AT120" s="23"/>
      <c r="AU120" s="241"/>
      <c r="AV120" s="14"/>
      <c r="AW120" s="250"/>
    </row>
    <row r="121" spans="2:49" s="56" customFormat="1" x14ac:dyDescent="0.3">
      <c r="B121" s="225">
        <v>40170</v>
      </c>
      <c r="C121" s="197" t="s">
        <v>180</v>
      </c>
      <c r="D121" s="57" t="s">
        <v>36</v>
      </c>
      <c r="E121" s="57" t="s">
        <v>36</v>
      </c>
      <c r="F121" s="57" t="s">
        <v>53</v>
      </c>
      <c r="G121" s="14">
        <v>117832868</v>
      </c>
      <c r="H121" s="48">
        <v>10</v>
      </c>
      <c r="I121" s="47">
        <v>3190840</v>
      </c>
      <c r="J121" s="49">
        <v>119946535</v>
      </c>
      <c r="K121" s="50">
        <v>35</v>
      </c>
      <c r="L121" s="50">
        <v>50</v>
      </c>
      <c r="M121" s="23"/>
      <c r="N121" s="23"/>
      <c r="O121" s="59"/>
      <c r="P121" s="59"/>
      <c r="Q121" s="17"/>
      <c r="R121" s="23"/>
      <c r="S121" s="53"/>
      <c r="T121" s="14"/>
      <c r="U121" s="17"/>
      <c r="V121" s="23"/>
      <c r="W121" s="53"/>
      <c r="X121" s="14"/>
      <c r="Y121" s="17"/>
      <c r="Z121" s="23"/>
      <c r="AA121" s="53"/>
      <c r="AB121" s="14"/>
      <c r="AC121" s="17">
        <v>0</v>
      </c>
      <c r="AD121" s="23">
        <v>489</v>
      </c>
      <c r="AE121" s="66">
        <v>110788</v>
      </c>
      <c r="AF121" s="14">
        <v>11783287</v>
      </c>
      <c r="AG121" s="232">
        <v>13</v>
      </c>
      <c r="AH121" s="23">
        <v>489</v>
      </c>
      <c r="AI121" s="238">
        <v>112400</v>
      </c>
      <c r="AJ121" s="229">
        <v>11783287</v>
      </c>
      <c r="AK121" s="239">
        <v>87</v>
      </c>
      <c r="AL121" s="23">
        <v>489</v>
      </c>
      <c r="AM121" s="241">
        <v>132472</v>
      </c>
      <c r="AN121" s="229">
        <v>11783287</v>
      </c>
      <c r="AO121" s="239">
        <v>12</v>
      </c>
      <c r="AP121" s="23">
        <v>489</v>
      </c>
      <c r="AQ121" s="241">
        <v>131283</v>
      </c>
      <c r="AR121" s="229">
        <v>11783287</v>
      </c>
      <c r="AS121" s="239"/>
      <c r="AT121" s="23"/>
      <c r="AU121" s="241"/>
      <c r="AV121" s="14"/>
      <c r="AW121" s="250"/>
    </row>
    <row r="122" spans="2:49" s="56" customFormat="1" x14ac:dyDescent="0.3">
      <c r="B122" s="225">
        <v>42895</v>
      </c>
      <c r="C122" s="197" t="s">
        <v>181</v>
      </c>
      <c r="D122" s="57" t="s">
        <v>103</v>
      </c>
      <c r="E122" s="57" t="s">
        <v>30</v>
      </c>
      <c r="F122" s="57" t="s">
        <v>53</v>
      </c>
      <c r="G122" s="14">
        <v>2957500</v>
      </c>
      <c r="H122" s="48">
        <v>10</v>
      </c>
      <c r="I122" s="47">
        <v>2600000</v>
      </c>
      <c r="J122" s="49">
        <v>6819946</v>
      </c>
      <c r="K122" s="50">
        <v>25</v>
      </c>
      <c r="L122" s="50">
        <v>35</v>
      </c>
      <c r="M122" s="23"/>
      <c r="N122" s="23"/>
      <c r="O122" s="59"/>
      <c r="P122" s="59"/>
      <c r="Q122" s="17"/>
      <c r="R122" s="23"/>
      <c r="S122" s="53"/>
      <c r="T122" s="14"/>
      <c r="U122" s="17"/>
      <c r="V122" s="23"/>
      <c r="W122" s="53"/>
      <c r="X122" s="14"/>
      <c r="Y122" s="17"/>
      <c r="Z122" s="23"/>
      <c r="AA122" s="53"/>
      <c r="AB122" s="14"/>
      <c r="AC122" s="17">
        <v>64</v>
      </c>
      <c r="AD122" s="23">
        <v>35</v>
      </c>
      <c r="AE122" s="53">
        <v>78336</v>
      </c>
      <c r="AF122" s="14">
        <v>285250</v>
      </c>
      <c r="AG122" s="232">
        <v>57</v>
      </c>
      <c r="AH122" s="23">
        <v>35</v>
      </c>
      <c r="AI122" s="241">
        <v>83770</v>
      </c>
      <c r="AJ122" s="229">
        <v>260750</v>
      </c>
      <c r="AK122" s="239">
        <v>75</v>
      </c>
      <c r="AL122" s="23">
        <v>35</v>
      </c>
      <c r="AM122" s="241">
        <v>83584</v>
      </c>
      <c r="AN122" s="229">
        <v>295750</v>
      </c>
      <c r="AO122" s="239">
        <v>92</v>
      </c>
      <c r="AP122" s="23">
        <v>35</v>
      </c>
      <c r="AQ122" s="241">
        <v>93445</v>
      </c>
      <c r="AR122" s="229">
        <v>295750</v>
      </c>
      <c r="AS122" s="239">
        <v>98</v>
      </c>
      <c r="AT122" s="23">
        <v>35</v>
      </c>
      <c r="AU122" s="241">
        <v>133</v>
      </c>
      <c r="AV122" s="229">
        <v>295750</v>
      </c>
      <c r="AW122" s="250"/>
    </row>
    <row r="123" spans="2:49" s="56" customFormat="1" x14ac:dyDescent="0.3">
      <c r="B123" s="225">
        <v>44092</v>
      </c>
      <c r="C123" s="197" t="s">
        <v>182</v>
      </c>
      <c r="D123" s="57" t="s">
        <v>36</v>
      </c>
      <c r="E123" s="57" t="s">
        <v>36</v>
      </c>
      <c r="F123" s="57" t="s">
        <v>53</v>
      </c>
      <c r="G123" s="14">
        <v>9567500</v>
      </c>
      <c r="H123" s="48">
        <v>10</v>
      </c>
      <c r="I123" s="47">
        <v>771067</v>
      </c>
      <c r="J123" s="49">
        <v>4930488</v>
      </c>
      <c r="K123" s="50">
        <v>18</v>
      </c>
      <c r="L123" s="50">
        <v>27</v>
      </c>
      <c r="M123" s="23"/>
      <c r="N123" s="23"/>
      <c r="O123" s="59"/>
      <c r="P123" s="59"/>
      <c r="Q123" s="17"/>
      <c r="R123" s="23"/>
      <c r="S123" s="53"/>
      <c r="T123" s="14"/>
      <c r="U123" s="17"/>
      <c r="V123" s="23"/>
      <c r="W123" s="53"/>
      <c r="X123" s="14"/>
      <c r="Y123" s="17"/>
      <c r="Z123" s="23"/>
      <c r="AA123" s="53"/>
      <c r="AB123" s="14"/>
      <c r="AC123" s="17">
        <v>0</v>
      </c>
      <c r="AD123" s="23">
        <v>85</v>
      </c>
      <c r="AE123" s="53">
        <v>50593</v>
      </c>
      <c r="AF123" s="14">
        <v>892500</v>
      </c>
      <c r="AG123" s="232">
        <v>12</v>
      </c>
      <c r="AH123" s="23">
        <v>89</v>
      </c>
      <c r="AI123" s="241">
        <v>71362.17</v>
      </c>
      <c r="AJ123" s="229">
        <v>1016750</v>
      </c>
      <c r="AK123" s="239">
        <v>40</v>
      </c>
      <c r="AL123" s="23">
        <v>89</v>
      </c>
      <c r="AM123" s="241">
        <v>67146.86</v>
      </c>
      <c r="AN123" s="229">
        <v>1134500</v>
      </c>
      <c r="AO123" s="239">
        <v>42</v>
      </c>
      <c r="AP123" s="23">
        <v>89</v>
      </c>
      <c r="AQ123" s="241">
        <v>72827</v>
      </c>
      <c r="AR123" s="229">
        <v>1166750</v>
      </c>
      <c r="AS123" s="239"/>
      <c r="AT123" s="23"/>
      <c r="AU123" s="241"/>
      <c r="AV123" s="229"/>
      <c r="AW123" s="250"/>
    </row>
    <row r="124" spans="2:49" s="56" customFormat="1" ht="15" customHeight="1" x14ac:dyDescent="0.3">
      <c r="B124" s="225">
        <v>41059</v>
      </c>
      <c r="C124" s="208" t="s">
        <v>183</v>
      </c>
      <c r="D124" s="57" t="s">
        <v>29</v>
      </c>
      <c r="E124" s="57" t="s">
        <v>30</v>
      </c>
      <c r="F124" s="57" t="s">
        <v>53</v>
      </c>
      <c r="G124" s="14">
        <v>23347500</v>
      </c>
      <c r="H124" s="48">
        <v>10</v>
      </c>
      <c r="I124" s="47">
        <v>5883080</v>
      </c>
      <c r="J124" s="49">
        <v>37298069</v>
      </c>
      <c r="K124" s="50">
        <v>10</v>
      </c>
      <c r="L124" s="50">
        <v>25</v>
      </c>
      <c r="M124" s="23"/>
      <c r="N124" s="23"/>
      <c r="O124" s="59"/>
      <c r="P124" s="59"/>
      <c r="Q124" s="17"/>
      <c r="R124" s="23"/>
      <c r="S124" s="53"/>
      <c r="T124" s="14"/>
      <c r="U124" s="17"/>
      <c r="V124" s="23"/>
      <c r="W124" s="53"/>
      <c r="X124" s="14"/>
      <c r="Y124" s="17"/>
      <c r="Z124" s="23"/>
      <c r="AA124" s="53"/>
      <c r="AB124" s="14"/>
      <c r="AC124" s="17">
        <v>19</v>
      </c>
      <c r="AD124" s="23">
        <v>252</v>
      </c>
      <c r="AE124" s="53">
        <v>109899</v>
      </c>
      <c r="AF124" s="14">
        <v>2235750</v>
      </c>
      <c r="AG124" s="232">
        <v>0</v>
      </c>
      <c r="AH124" s="23">
        <v>251</v>
      </c>
      <c r="AI124" s="238">
        <v>108359.44</v>
      </c>
      <c r="AJ124" s="229">
        <f>4306500-2235750</f>
        <v>2070750</v>
      </c>
      <c r="AK124" s="239">
        <v>1</v>
      </c>
      <c r="AL124" s="23">
        <v>250</v>
      </c>
      <c r="AM124" s="241">
        <v>114938</v>
      </c>
      <c r="AN124" s="229">
        <f>4306500-2235750</f>
        <v>2070750</v>
      </c>
      <c r="AO124" s="239"/>
      <c r="AP124" s="23"/>
      <c r="AQ124" s="241"/>
      <c r="AR124" s="229"/>
      <c r="AS124" s="239"/>
      <c r="AT124" s="23"/>
      <c r="AU124" s="241"/>
      <c r="AV124" s="14"/>
      <c r="AW124" s="250"/>
    </row>
    <row r="125" spans="2:49" s="56" customFormat="1" x14ac:dyDescent="0.3">
      <c r="B125" s="225">
        <v>44011</v>
      </c>
      <c r="C125" s="208" t="s">
        <v>184</v>
      </c>
      <c r="D125" s="57" t="s">
        <v>62</v>
      </c>
      <c r="E125" s="57" t="s">
        <v>62</v>
      </c>
      <c r="F125" s="57" t="s">
        <v>53</v>
      </c>
      <c r="G125" s="14">
        <v>1060280</v>
      </c>
      <c r="H125" s="48">
        <v>10</v>
      </c>
      <c r="I125" s="47">
        <v>560000</v>
      </c>
      <c r="J125" s="47">
        <v>1171328</v>
      </c>
      <c r="K125" s="50">
        <v>10</v>
      </c>
      <c r="L125" s="50">
        <v>25</v>
      </c>
      <c r="M125" s="23"/>
      <c r="N125" s="23"/>
      <c r="O125" s="59"/>
      <c r="P125" s="59"/>
      <c r="Q125" s="17"/>
      <c r="R125" s="23"/>
      <c r="S125" s="53"/>
      <c r="T125" s="14"/>
      <c r="U125" s="17"/>
      <c r="V125" s="23"/>
      <c r="W125" s="53"/>
      <c r="X125" s="14"/>
      <c r="Y125" s="17"/>
      <c r="Z125" s="23"/>
      <c r="AA125" s="53"/>
      <c r="AB125" s="14"/>
      <c r="AC125" s="17">
        <v>2</v>
      </c>
      <c r="AD125" s="23">
        <v>52</v>
      </c>
      <c r="AE125" s="53">
        <v>45760</v>
      </c>
      <c r="AF125" s="14">
        <v>106028</v>
      </c>
      <c r="AG125" s="232">
        <v>0</v>
      </c>
      <c r="AH125" s="23">
        <v>50</v>
      </c>
      <c r="AI125" s="238">
        <v>55229</v>
      </c>
      <c r="AJ125" s="229">
        <v>101950</v>
      </c>
      <c r="AK125" s="239"/>
      <c r="AL125" s="23"/>
      <c r="AM125" s="241"/>
      <c r="AN125" s="229"/>
      <c r="AO125" s="239"/>
      <c r="AP125" s="23"/>
      <c r="AQ125" s="241"/>
      <c r="AR125" s="229"/>
      <c r="AS125" s="239"/>
      <c r="AT125" s="23"/>
      <c r="AU125" s="241"/>
      <c r="AV125" s="14"/>
      <c r="AW125" s="250"/>
    </row>
    <row r="126" spans="2:49" s="56" customFormat="1" x14ac:dyDescent="0.3">
      <c r="B126" s="225">
        <v>39601</v>
      </c>
      <c r="C126" s="208" t="s">
        <v>185</v>
      </c>
      <c r="D126" s="57" t="s">
        <v>36</v>
      </c>
      <c r="E126" s="57" t="s">
        <v>36</v>
      </c>
      <c r="F126" s="57" t="s">
        <v>53</v>
      </c>
      <c r="G126" s="14">
        <v>107000000</v>
      </c>
      <c r="H126" s="48">
        <v>10</v>
      </c>
      <c r="I126" s="47">
        <v>1350373</v>
      </c>
      <c r="J126" s="49">
        <v>156905498</v>
      </c>
      <c r="K126" s="50">
        <v>19</v>
      </c>
      <c r="L126" s="50">
        <v>27</v>
      </c>
      <c r="M126" s="23"/>
      <c r="N126" s="23"/>
      <c r="O126" s="59"/>
      <c r="P126" s="59"/>
      <c r="Q126" s="17"/>
      <c r="R126" s="23"/>
      <c r="S126" s="53"/>
      <c r="T126" s="14"/>
      <c r="U126" s="17"/>
      <c r="V126" s="23"/>
      <c r="W126" s="53"/>
      <c r="X126" s="14"/>
      <c r="Y126" s="17"/>
      <c r="Z126" s="23"/>
      <c r="AA126" s="53"/>
      <c r="AB126" s="14"/>
      <c r="AC126" s="17">
        <v>1</v>
      </c>
      <c r="AD126" s="23">
        <v>250</v>
      </c>
      <c r="AE126" s="53">
        <v>101942.3</v>
      </c>
      <c r="AF126" s="14">
        <v>10700000</v>
      </c>
      <c r="AG126" s="232">
        <v>5</v>
      </c>
      <c r="AH126" s="232">
        <v>250</v>
      </c>
      <c r="AI126" s="229">
        <v>94499.51</v>
      </c>
      <c r="AJ126" s="229">
        <v>10700000</v>
      </c>
      <c r="AK126" s="239">
        <v>21</v>
      </c>
      <c r="AL126" s="23">
        <v>250</v>
      </c>
      <c r="AM126" s="229">
        <v>94606</v>
      </c>
      <c r="AN126" s="229">
        <v>10700000</v>
      </c>
      <c r="AO126" s="239">
        <v>24</v>
      </c>
      <c r="AP126" s="23">
        <v>250</v>
      </c>
      <c r="AQ126" s="229">
        <v>118243</v>
      </c>
      <c r="AR126" s="229">
        <v>10700000</v>
      </c>
      <c r="AS126" s="239"/>
      <c r="AT126" s="23"/>
      <c r="AU126" s="229"/>
      <c r="AV126" s="14"/>
      <c r="AW126" s="250"/>
    </row>
    <row r="127" spans="2:49" s="56" customFormat="1" x14ac:dyDescent="0.3">
      <c r="B127" s="225">
        <v>39899</v>
      </c>
      <c r="C127" s="208" t="s">
        <v>186</v>
      </c>
      <c r="D127" s="57" t="s">
        <v>77</v>
      </c>
      <c r="E127" s="57" t="s">
        <v>36</v>
      </c>
      <c r="F127" s="57" t="s">
        <v>53</v>
      </c>
      <c r="G127" s="14">
        <v>7622712</v>
      </c>
      <c r="H127" s="48">
        <v>10</v>
      </c>
      <c r="I127" s="47">
        <v>1036853</v>
      </c>
      <c r="J127" s="49">
        <v>3780626</v>
      </c>
      <c r="K127" s="50">
        <v>8</v>
      </c>
      <c r="L127" s="50">
        <v>19</v>
      </c>
      <c r="M127" s="23"/>
      <c r="N127" s="23"/>
      <c r="O127" s="59"/>
      <c r="P127" s="59"/>
      <c r="Q127" s="17"/>
      <c r="R127" s="23"/>
      <c r="S127" s="53"/>
      <c r="T127" s="14"/>
      <c r="U127" s="17"/>
      <c r="V127" s="23"/>
      <c r="W127" s="53"/>
      <c r="X127" s="14"/>
      <c r="Y127" s="17"/>
      <c r="Z127" s="23"/>
      <c r="AA127" s="53"/>
      <c r="AB127" s="14"/>
      <c r="AC127" s="232">
        <v>66</v>
      </c>
      <c r="AD127" s="23">
        <v>95</v>
      </c>
      <c r="AE127" s="241">
        <v>17888</v>
      </c>
      <c r="AF127" s="229">
        <v>762271</v>
      </c>
      <c r="AG127" s="232"/>
      <c r="AH127" s="232"/>
      <c r="AI127" s="229"/>
      <c r="AJ127" s="229"/>
      <c r="AK127" s="239">
        <v>10</v>
      </c>
      <c r="AL127" s="23">
        <v>95</v>
      </c>
      <c r="AM127" s="229">
        <v>22880</v>
      </c>
      <c r="AN127" s="229">
        <v>488750</v>
      </c>
      <c r="AO127" s="239">
        <v>15</v>
      </c>
      <c r="AP127" s="23">
        <v>95</v>
      </c>
      <c r="AQ127" s="229">
        <v>24960</v>
      </c>
      <c r="AR127" s="229">
        <v>531250</v>
      </c>
      <c r="AS127" s="239"/>
      <c r="AT127" s="23"/>
      <c r="AU127" s="229"/>
      <c r="AV127" s="14"/>
      <c r="AW127" s="250"/>
    </row>
    <row r="128" spans="2:49" s="56" customFormat="1" x14ac:dyDescent="0.3">
      <c r="B128" s="225">
        <v>39350</v>
      </c>
      <c r="C128" s="208" t="s">
        <v>373</v>
      </c>
      <c r="D128" s="57" t="s">
        <v>379</v>
      </c>
      <c r="E128" s="57" t="s">
        <v>30</v>
      </c>
      <c r="F128" s="57" t="s">
        <v>53</v>
      </c>
      <c r="G128" s="14">
        <v>33083750</v>
      </c>
      <c r="H128" s="48">
        <v>10</v>
      </c>
      <c r="I128" s="47">
        <v>16800000</v>
      </c>
      <c r="J128" s="49">
        <v>73390585</v>
      </c>
      <c r="K128" s="50">
        <v>35</v>
      </c>
      <c r="L128" s="50">
        <v>50</v>
      </c>
      <c r="M128" s="23"/>
      <c r="N128" s="23"/>
      <c r="O128" s="59"/>
      <c r="P128" s="59"/>
      <c r="Q128" s="17"/>
      <c r="R128" s="23"/>
      <c r="S128" s="53"/>
      <c r="T128" s="14"/>
      <c r="U128" s="17"/>
      <c r="V128" s="23"/>
      <c r="W128" s="53"/>
      <c r="X128" s="14"/>
      <c r="Y128" s="17"/>
      <c r="Z128" s="23"/>
      <c r="AA128" s="53"/>
      <c r="AB128" s="14"/>
      <c r="AC128" s="239">
        <v>0</v>
      </c>
      <c r="AD128" s="23">
        <v>1372</v>
      </c>
      <c r="AE128" s="241">
        <v>106115</v>
      </c>
      <c r="AF128" s="229">
        <v>3258500</v>
      </c>
      <c r="AG128" s="239">
        <v>0</v>
      </c>
      <c r="AH128" s="23">
        <v>1340</v>
      </c>
      <c r="AI128" s="241">
        <v>115807</v>
      </c>
      <c r="AJ128" s="245">
        <v>3182500</v>
      </c>
      <c r="AK128" s="240">
        <v>0</v>
      </c>
      <c r="AL128" s="23">
        <v>1262</v>
      </c>
      <c r="AM128" s="241">
        <v>116386</v>
      </c>
      <c r="AN128" s="229">
        <v>2997250</v>
      </c>
      <c r="AO128" s="239">
        <v>0</v>
      </c>
      <c r="AP128" s="23">
        <v>1266</v>
      </c>
      <c r="AQ128" s="241">
        <v>120505</v>
      </c>
      <c r="AR128" s="229">
        <v>3006750</v>
      </c>
      <c r="AS128" s="239"/>
      <c r="AT128" s="23"/>
      <c r="AU128" s="241"/>
      <c r="AV128" s="14"/>
      <c r="AW128" s="250"/>
    </row>
    <row r="129" spans="2:49" s="56" customFormat="1" x14ac:dyDescent="0.3">
      <c r="B129" s="225">
        <v>41233</v>
      </c>
      <c r="C129" s="197" t="s">
        <v>187</v>
      </c>
      <c r="D129" s="57" t="s">
        <v>36</v>
      </c>
      <c r="E129" s="57" t="s">
        <v>36</v>
      </c>
      <c r="F129" s="57" t="s">
        <v>53</v>
      </c>
      <c r="G129" s="14">
        <v>131588377</v>
      </c>
      <c r="H129" s="48">
        <v>10</v>
      </c>
      <c r="I129" s="47">
        <v>27534400</v>
      </c>
      <c r="J129" s="49">
        <v>131588377</v>
      </c>
      <c r="K129" s="50">
        <v>27</v>
      </c>
      <c r="L129" s="50">
        <v>38</v>
      </c>
      <c r="M129" s="23"/>
      <c r="N129" s="23"/>
      <c r="O129" s="59"/>
      <c r="P129" s="59"/>
      <c r="Q129" s="17"/>
      <c r="R129" s="23"/>
      <c r="S129" s="53"/>
      <c r="T129" s="14"/>
      <c r="U129" s="17"/>
      <c r="V129" s="23"/>
      <c r="W129" s="53"/>
      <c r="X129" s="14"/>
      <c r="Y129" s="17"/>
      <c r="Z129" s="23"/>
      <c r="AA129" s="53"/>
      <c r="AB129" s="14"/>
      <c r="AC129" s="232"/>
      <c r="AD129" s="23"/>
      <c r="AE129" s="241"/>
      <c r="AF129" s="229"/>
      <c r="AG129" s="232">
        <v>285</v>
      </c>
      <c r="AH129" s="23">
        <v>62</v>
      </c>
      <c r="AI129" s="238">
        <v>43539</v>
      </c>
      <c r="AJ129" s="229">
        <v>13158838</v>
      </c>
      <c r="AK129" s="239">
        <v>288</v>
      </c>
      <c r="AL129" s="23">
        <v>62</v>
      </c>
      <c r="AM129" s="241">
        <v>44566</v>
      </c>
      <c r="AN129" s="229">
        <v>13158838</v>
      </c>
      <c r="AO129" s="239">
        <v>285</v>
      </c>
      <c r="AP129" s="23">
        <v>62</v>
      </c>
      <c r="AQ129" s="241">
        <v>44787</v>
      </c>
      <c r="AR129" s="229">
        <v>13158838</v>
      </c>
      <c r="AS129" s="239"/>
      <c r="AT129" s="23"/>
      <c r="AU129" s="241"/>
      <c r="AV129" s="14"/>
      <c r="AW129" s="250"/>
    </row>
    <row r="130" spans="2:49" s="56" customFormat="1" x14ac:dyDescent="0.3">
      <c r="B130" s="225">
        <v>43888</v>
      </c>
      <c r="C130" s="197" t="s">
        <v>188</v>
      </c>
      <c r="D130" s="57" t="s">
        <v>99</v>
      </c>
      <c r="E130" s="57" t="s">
        <v>73</v>
      </c>
      <c r="F130" s="57" t="s">
        <v>53</v>
      </c>
      <c r="G130" s="14">
        <v>21646800</v>
      </c>
      <c r="H130" s="48">
        <v>10</v>
      </c>
      <c r="I130" s="47">
        <v>4000000</v>
      </c>
      <c r="J130" s="49">
        <v>18636427</v>
      </c>
      <c r="K130" s="50">
        <v>8</v>
      </c>
      <c r="L130" s="50">
        <v>19</v>
      </c>
      <c r="M130" s="23"/>
      <c r="N130" s="23"/>
      <c r="O130" s="59"/>
      <c r="P130" s="59"/>
      <c r="Q130" s="17"/>
      <c r="R130" s="23"/>
      <c r="S130" s="53"/>
      <c r="T130" s="14"/>
      <c r="U130" s="17"/>
      <c r="V130" s="23"/>
      <c r="W130" s="53"/>
      <c r="X130" s="14"/>
      <c r="Y130" s="17"/>
      <c r="Z130" s="23"/>
      <c r="AA130" s="53"/>
      <c r="AB130" s="14"/>
      <c r="AC130" s="17"/>
      <c r="AD130" s="23"/>
      <c r="AE130" s="53"/>
      <c r="AF130" s="14"/>
      <c r="AG130" s="232">
        <v>60</v>
      </c>
      <c r="AH130" s="23">
        <v>380</v>
      </c>
      <c r="AI130" s="238">
        <v>29900</v>
      </c>
      <c r="AJ130" s="229">
        <v>2164680</v>
      </c>
      <c r="AK130" s="239">
        <v>98</v>
      </c>
      <c r="AL130" s="23">
        <v>380</v>
      </c>
      <c r="AM130" s="241">
        <v>28600</v>
      </c>
      <c r="AN130" s="229">
        <v>2164680</v>
      </c>
      <c r="AO130" s="239">
        <v>98</v>
      </c>
      <c r="AP130" s="23">
        <v>380</v>
      </c>
      <c r="AQ130" s="241">
        <v>28600</v>
      </c>
      <c r="AR130" s="229">
        <v>2164680</v>
      </c>
      <c r="AS130" s="239">
        <v>142</v>
      </c>
      <c r="AT130" s="23">
        <v>380</v>
      </c>
      <c r="AU130" s="241">
        <v>33843</v>
      </c>
      <c r="AV130" s="229">
        <v>2164680</v>
      </c>
      <c r="AW130" s="250"/>
    </row>
    <row r="131" spans="2:49" s="56" customFormat="1" x14ac:dyDescent="0.3">
      <c r="B131" s="225">
        <v>44089</v>
      </c>
      <c r="C131" s="197" t="s">
        <v>189</v>
      </c>
      <c r="D131" s="57" t="s">
        <v>116</v>
      </c>
      <c r="E131" s="57" t="s">
        <v>68</v>
      </c>
      <c r="F131" s="57" t="s">
        <v>53</v>
      </c>
      <c r="G131" s="14">
        <v>9360000</v>
      </c>
      <c r="H131" s="48">
        <v>10</v>
      </c>
      <c r="I131" s="47">
        <v>827814</v>
      </c>
      <c r="J131" s="49">
        <v>2303586</v>
      </c>
      <c r="K131" s="50">
        <v>8</v>
      </c>
      <c r="L131" s="50">
        <v>19</v>
      </c>
      <c r="M131" s="23"/>
      <c r="N131" s="23"/>
      <c r="O131" s="59"/>
      <c r="P131" s="59"/>
      <c r="Q131" s="17"/>
      <c r="R131" s="23"/>
      <c r="S131" s="53"/>
      <c r="T131" s="14"/>
      <c r="U131" s="17"/>
      <c r="V131" s="23"/>
      <c r="W131" s="53"/>
      <c r="X131" s="14"/>
      <c r="Y131" s="17"/>
      <c r="Z131" s="23"/>
      <c r="AA131" s="53"/>
      <c r="AB131" s="14"/>
      <c r="AC131" s="17"/>
      <c r="AD131" s="23"/>
      <c r="AE131" s="53"/>
      <c r="AF131" s="14"/>
      <c r="AG131" s="232">
        <v>53</v>
      </c>
      <c r="AH131" s="23">
        <v>62</v>
      </c>
      <c r="AI131" s="238">
        <v>22351.05</v>
      </c>
      <c r="AJ131" s="229">
        <v>1121000</v>
      </c>
      <c r="AK131" s="239">
        <v>57</v>
      </c>
      <c r="AL131" s="23">
        <v>62</v>
      </c>
      <c r="AM131" s="241">
        <v>29649.34</v>
      </c>
      <c r="AN131" s="229">
        <v>1141000</v>
      </c>
      <c r="AO131" s="239">
        <v>104</v>
      </c>
      <c r="AP131" s="23">
        <v>62</v>
      </c>
      <c r="AQ131" s="241">
        <v>24960</v>
      </c>
      <c r="AR131" s="229">
        <v>1376000</v>
      </c>
      <c r="AS131" s="239"/>
      <c r="AT131" s="23"/>
      <c r="AU131" s="241"/>
      <c r="AV131" s="229"/>
      <c r="AW131" s="268"/>
    </row>
    <row r="132" spans="2:49" s="56" customFormat="1" ht="31.2" x14ac:dyDescent="0.3">
      <c r="B132" s="225">
        <v>44315</v>
      </c>
      <c r="C132" s="197" t="s">
        <v>190</v>
      </c>
      <c r="D132" s="57" t="s">
        <v>116</v>
      </c>
      <c r="E132" s="57" t="s">
        <v>68</v>
      </c>
      <c r="F132" s="57" t="s">
        <v>53</v>
      </c>
      <c r="G132" s="14">
        <v>2707500</v>
      </c>
      <c r="H132" s="48">
        <v>10</v>
      </c>
      <c r="I132" s="47">
        <v>733334</v>
      </c>
      <c r="J132" s="49">
        <v>10625794</v>
      </c>
      <c r="K132" s="50">
        <v>8</v>
      </c>
      <c r="L132" s="50">
        <v>19</v>
      </c>
      <c r="M132" s="23"/>
      <c r="N132" s="23"/>
      <c r="O132" s="59"/>
      <c r="P132" s="59"/>
      <c r="Q132" s="17"/>
      <c r="R132" s="23"/>
      <c r="S132" s="53"/>
      <c r="T132" s="14"/>
      <c r="U132" s="17"/>
      <c r="V132" s="23"/>
      <c r="W132" s="53"/>
      <c r="X132" s="14"/>
      <c r="Y132" s="17"/>
      <c r="Z132" s="23"/>
      <c r="AA132" s="53"/>
      <c r="AB132" s="14"/>
      <c r="AC132" s="17"/>
      <c r="AD132" s="23"/>
      <c r="AE132" s="53"/>
      <c r="AF132" s="14"/>
      <c r="AG132" s="232">
        <v>19</v>
      </c>
      <c r="AH132" s="23">
        <v>0</v>
      </c>
      <c r="AI132" s="238">
        <v>43056</v>
      </c>
      <c r="AJ132" s="229">
        <v>266000</v>
      </c>
      <c r="AK132" s="239">
        <v>19</v>
      </c>
      <c r="AL132" s="23">
        <v>0</v>
      </c>
      <c r="AM132" s="241">
        <v>50885.42</v>
      </c>
      <c r="AN132" s="229">
        <v>266000</v>
      </c>
      <c r="AO132" s="239">
        <v>21</v>
      </c>
      <c r="AP132" s="23">
        <v>0</v>
      </c>
      <c r="AQ132" s="241">
        <v>58919</v>
      </c>
      <c r="AR132" s="229">
        <v>276000</v>
      </c>
      <c r="AS132" s="239">
        <v>24</v>
      </c>
      <c r="AT132" s="23">
        <v>0</v>
      </c>
      <c r="AU132" s="241">
        <v>68400</v>
      </c>
      <c r="AV132" s="229">
        <v>291000</v>
      </c>
      <c r="AW132" s="268"/>
    </row>
    <row r="133" spans="2:49" s="56" customFormat="1" x14ac:dyDescent="0.3">
      <c r="B133" s="225">
        <v>41048</v>
      </c>
      <c r="C133" s="197" t="s">
        <v>191</v>
      </c>
      <c r="D133" s="57" t="s">
        <v>192</v>
      </c>
      <c r="E133" s="57" t="s">
        <v>33</v>
      </c>
      <c r="F133" s="57" t="s">
        <v>53</v>
      </c>
      <c r="G133" s="14">
        <v>950000</v>
      </c>
      <c r="H133" s="48">
        <v>10</v>
      </c>
      <c r="I133" s="47">
        <v>463960</v>
      </c>
      <c r="J133" s="49">
        <v>1104538</v>
      </c>
      <c r="K133" s="50">
        <v>10</v>
      </c>
      <c r="L133" s="50">
        <v>25</v>
      </c>
      <c r="M133" s="23"/>
      <c r="N133" s="23"/>
      <c r="O133" s="59"/>
      <c r="P133" s="59"/>
      <c r="Q133" s="17"/>
      <c r="R133" s="23"/>
      <c r="S133" s="53"/>
      <c r="T133" s="14"/>
      <c r="U133" s="17"/>
      <c r="V133" s="23"/>
      <c r="W133" s="53"/>
      <c r="X133" s="14"/>
      <c r="Y133" s="17"/>
      <c r="Z133" s="23"/>
      <c r="AA133" s="53"/>
      <c r="AB133" s="14"/>
      <c r="AC133" s="17"/>
      <c r="AD133" s="23"/>
      <c r="AE133" s="53"/>
      <c r="AF133" s="14"/>
      <c r="AG133" s="232">
        <v>20</v>
      </c>
      <c r="AH133" s="23">
        <v>0</v>
      </c>
      <c r="AI133" s="238">
        <v>204615.21</v>
      </c>
      <c r="AJ133" s="229">
        <v>90000</v>
      </c>
      <c r="AK133" s="239"/>
      <c r="AL133" s="23"/>
      <c r="AM133" s="241"/>
      <c r="AN133" s="229"/>
      <c r="AO133" s="239"/>
      <c r="AP133" s="23"/>
      <c r="AQ133" s="241"/>
      <c r="AR133" s="229"/>
      <c r="AS133" s="239"/>
      <c r="AT133" s="23"/>
      <c r="AU133" s="241"/>
      <c r="AV133" s="229"/>
      <c r="AW133" s="268"/>
    </row>
    <row r="134" spans="2:49" s="56" customFormat="1" x14ac:dyDescent="0.3">
      <c r="B134" s="225">
        <v>41823</v>
      </c>
      <c r="C134" s="197" t="s">
        <v>193</v>
      </c>
      <c r="D134" s="57" t="s">
        <v>21</v>
      </c>
      <c r="E134" s="57" t="s">
        <v>22</v>
      </c>
      <c r="F134" s="57" t="s">
        <v>53</v>
      </c>
      <c r="G134" s="14">
        <v>1980000</v>
      </c>
      <c r="H134" s="48">
        <v>10</v>
      </c>
      <c r="I134" s="47">
        <v>74520</v>
      </c>
      <c r="J134" s="49">
        <v>949715</v>
      </c>
      <c r="K134" s="50">
        <v>10</v>
      </c>
      <c r="L134" s="50">
        <v>25</v>
      </c>
      <c r="M134" s="23"/>
      <c r="N134" s="23"/>
      <c r="O134" s="59"/>
      <c r="P134" s="59"/>
      <c r="Q134" s="17"/>
      <c r="R134" s="23"/>
      <c r="S134" s="53"/>
      <c r="T134" s="14"/>
      <c r="U134" s="17"/>
      <c r="V134" s="23"/>
      <c r="W134" s="53"/>
      <c r="X134" s="14"/>
      <c r="Y134" s="17"/>
      <c r="Z134" s="23"/>
      <c r="AA134" s="53"/>
      <c r="AB134" s="14"/>
      <c r="AC134" s="17"/>
      <c r="AD134" s="23"/>
      <c r="AE134" s="53"/>
      <c r="AF134" s="14"/>
      <c r="AG134" s="232">
        <v>18</v>
      </c>
      <c r="AH134" s="23">
        <v>0</v>
      </c>
      <c r="AI134" s="238">
        <v>26000</v>
      </c>
      <c r="AJ134" s="229">
        <v>162000</v>
      </c>
      <c r="AK134" s="239">
        <v>16</v>
      </c>
      <c r="AL134" s="23">
        <v>0</v>
      </c>
      <c r="AM134" s="241">
        <v>35880</v>
      </c>
      <c r="AN134" s="229">
        <v>108000</v>
      </c>
      <c r="AO134" s="239">
        <v>19</v>
      </c>
      <c r="AP134" s="23">
        <v>0</v>
      </c>
      <c r="AQ134" s="241">
        <v>32945</v>
      </c>
      <c r="AR134" s="229">
        <v>171000</v>
      </c>
      <c r="AS134" s="239">
        <v>19</v>
      </c>
      <c r="AT134" s="23">
        <v>0</v>
      </c>
      <c r="AU134" s="241">
        <v>34580</v>
      </c>
      <c r="AV134" s="229">
        <v>171000</v>
      </c>
      <c r="AW134" s="268"/>
    </row>
    <row r="135" spans="2:49" s="56" customFormat="1" x14ac:dyDescent="0.3">
      <c r="B135" s="225">
        <v>42195</v>
      </c>
      <c r="C135" s="197" t="s">
        <v>194</v>
      </c>
      <c r="D135" s="57" t="s">
        <v>96</v>
      </c>
      <c r="E135" s="57" t="s">
        <v>97</v>
      </c>
      <c r="F135" s="57" t="s">
        <v>53</v>
      </c>
      <c r="G135" s="14">
        <v>4475000</v>
      </c>
      <c r="H135" s="48">
        <v>10</v>
      </c>
      <c r="I135" s="47">
        <v>2109454</v>
      </c>
      <c r="J135" s="49">
        <v>8046423</v>
      </c>
      <c r="K135" s="50">
        <v>27</v>
      </c>
      <c r="L135" s="50">
        <v>38</v>
      </c>
      <c r="M135" s="23"/>
      <c r="N135" s="23"/>
      <c r="O135" s="59"/>
      <c r="P135" s="59"/>
      <c r="Q135" s="17"/>
      <c r="R135" s="23"/>
      <c r="S135" s="53"/>
      <c r="T135" s="14"/>
      <c r="U135" s="17"/>
      <c r="V135" s="23"/>
      <c r="W135" s="53"/>
      <c r="X135" s="14"/>
      <c r="Y135" s="17"/>
      <c r="Z135" s="23"/>
      <c r="AA135" s="53"/>
      <c r="AB135" s="14"/>
      <c r="AC135" s="17"/>
      <c r="AD135" s="23"/>
      <c r="AE135" s="53"/>
      <c r="AF135" s="14"/>
      <c r="AG135" s="232">
        <v>57</v>
      </c>
      <c r="AH135" s="23">
        <v>65</v>
      </c>
      <c r="AI135" s="238">
        <v>22880</v>
      </c>
      <c r="AJ135" s="229">
        <v>387500</v>
      </c>
      <c r="AK135" s="239">
        <v>37</v>
      </c>
      <c r="AL135" s="23">
        <v>65</v>
      </c>
      <c r="AM135" s="241">
        <v>32780</v>
      </c>
      <c r="AN135" s="229">
        <v>347500</v>
      </c>
      <c r="AO135" s="239">
        <v>50</v>
      </c>
      <c r="AP135" s="23">
        <v>65</v>
      </c>
      <c r="AQ135" s="241">
        <v>45186</v>
      </c>
      <c r="AR135" s="229">
        <v>412500</v>
      </c>
      <c r="AS135" s="239">
        <v>64</v>
      </c>
      <c r="AT135" s="23">
        <v>65</v>
      </c>
      <c r="AU135" s="241">
        <v>42949</v>
      </c>
      <c r="AV135" s="229">
        <v>447500</v>
      </c>
      <c r="AW135" s="268"/>
    </row>
    <row r="136" spans="2:49" s="56" customFormat="1" ht="31.2" x14ac:dyDescent="0.3">
      <c r="B136" s="225">
        <v>42217</v>
      </c>
      <c r="C136" s="199" t="s">
        <v>195</v>
      </c>
      <c r="D136" s="57" t="s">
        <v>21</v>
      </c>
      <c r="E136" s="57" t="s">
        <v>22</v>
      </c>
      <c r="F136" s="57" t="s">
        <v>53</v>
      </c>
      <c r="G136" s="14">
        <v>8000000</v>
      </c>
      <c r="H136" s="48">
        <v>10</v>
      </c>
      <c r="I136" s="47">
        <v>1401600</v>
      </c>
      <c r="J136" s="49">
        <v>5280572</v>
      </c>
      <c r="K136" s="50">
        <v>25</v>
      </c>
      <c r="L136" s="50">
        <v>35</v>
      </c>
      <c r="M136" s="23"/>
      <c r="N136" s="23"/>
      <c r="O136" s="59"/>
      <c r="P136" s="59"/>
      <c r="Q136" s="17"/>
      <c r="R136" s="23"/>
      <c r="S136" s="53"/>
      <c r="T136" s="14"/>
      <c r="U136" s="17"/>
      <c r="V136" s="23"/>
      <c r="W136" s="53"/>
      <c r="X136" s="14"/>
      <c r="Y136" s="17"/>
      <c r="Z136" s="23"/>
      <c r="AA136" s="53"/>
      <c r="AB136" s="14"/>
      <c r="AC136" s="17"/>
      <c r="AD136" s="23"/>
      <c r="AE136" s="53"/>
      <c r="AF136" s="14"/>
      <c r="AG136" s="232">
        <v>100</v>
      </c>
      <c r="AH136" s="23">
        <v>0</v>
      </c>
      <c r="AI136" s="238">
        <v>87205.8</v>
      </c>
      <c r="AJ136" s="229">
        <v>775000</v>
      </c>
      <c r="AK136" s="239">
        <v>94</v>
      </c>
      <c r="AL136" s="23">
        <v>0</v>
      </c>
      <c r="AM136" s="241">
        <v>100787.74</v>
      </c>
      <c r="AN136" s="229">
        <v>728500</v>
      </c>
      <c r="AO136" s="239"/>
      <c r="AP136" s="23"/>
      <c r="AQ136" s="241"/>
      <c r="AR136" s="229"/>
      <c r="AS136" s="239"/>
      <c r="AT136" s="23"/>
      <c r="AU136" s="241"/>
      <c r="AV136" s="229"/>
      <c r="AW136" s="268"/>
    </row>
    <row r="137" spans="2:49" s="56" customFormat="1" x14ac:dyDescent="0.3">
      <c r="B137" s="225">
        <v>40678</v>
      </c>
      <c r="C137" s="135" t="s">
        <v>196</v>
      </c>
      <c r="D137" s="57" t="s">
        <v>112</v>
      </c>
      <c r="E137" s="57" t="s">
        <v>113</v>
      </c>
      <c r="F137" s="57" t="s">
        <v>53</v>
      </c>
      <c r="G137" s="14">
        <v>39375000</v>
      </c>
      <c r="H137" s="48">
        <v>10</v>
      </c>
      <c r="I137" s="47">
        <v>3080000</v>
      </c>
      <c r="J137" s="49">
        <v>58654616</v>
      </c>
      <c r="K137" s="50">
        <v>25</v>
      </c>
      <c r="L137" s="50">
        <v>35</v>
      </c>
      <c r="M137" s="23"/>
      <c r="N137" s="23"/>
      <c r="O137" s="59"/>
      <c r="P137" s="59"/>
      <c r="Q137" s="17"/>
      <c r="R137" s="23"/>
      <c r="S137" s="53"/>
      <c r="T137" s="14"/>
      <c r="U137" s="17"/>
      <c r="V137" s="23"/>
      <c r="W137" s="53"/>
      <c r="X137" s="14"/>
      <c r="Y137" s="17"/>
      <c r="Z137" s="23"/>
      <c r="AA137" s="53"/>
      <c r="AB137" s="14"/>
      <c r="AC137" s="17"/>
      <c r="AD137" s="23"/>
      <c r="AE137" s="53"/>
      <c r="AF137" s="14"/>
      <c r="AG137" s="232">
        <v>352</v>
      </c>
      <c r="AH137" s="23">
        <v>50</v>
      </c>
      <c r="AI137" s="238">
        <v>138477.57</v>
      </c>
      <c r="AJ137" s="229">
        <v>3937500</v>
      </c>
      <c r="AK137" s="239">
        <v>377</v>
      </c>
      <c r="AL137" s="23">
        <v>50</v>
      </c>
      <c r="AM137" s="241">
        <v>152400.04999999999</v>
      </c>
      <c r="AN137" s="229">
        <v>3937500</v>
      </c>
      <c r="AO137" s="239">
        <v>429</v>
      </c>
      <c r="AP137" s="23">
        <v>50</v>
      </c>
      <c r="AQ137" s="241">
        <v>149563</v>
      </c>
      <c r="AR137" s="229">
        <v>3937500</v>
      </c>
      <c r="AS137" s="239">
        <v>877</v>
      </c>
      <c r="AT137" s="23">
        <v>50</v>
      </c>
      <c r="AU137" s="241">
        <v>226496</v>
      </c>
      <c r="AV137" s="229">
        <v>3937500</v>
      </c>
      <c r="AW137" s="268"/>
    </row>
    <row r="138" spans="2:49" s="56" customFormat="1" x14ac:dyDescent="0.3">
      <c r="B138" s="225">
        <v>41334</v>
      </c>
      <c r="C138" s="135" t="s">
        <v>197</v>
      </c>
      <c r="D138" s="57" t="s">
        <v>198</v>
      </c>
      <c r="E138" s="57" t="s">
        <v>97</v>
      </c>
      <c r="F138" s="57" t="s">
        <v>53</v>
      </c>
      <c r="G138" s="14">
        <v>22880000</v>
      </c>
      <c r="H138" s="48">
        <v>10</v>
      </c>
      <c r="I138" s="47">
        <f>9775000+2000000</f>
        <v>11775000</v>
      </c>
      <c r="J138" s="49">
        <v>22257683</v>
      </c>
      <c r="K138" s="50">
        <v>10</v>
      </c>
      <c r="L138" s="50">
        <v>25</v>
      </c>
      <c r="M138" s="23"/>
      <c r="N138" s="23"/>
      <c r="O138" s="59"/>
      <c r="P138" s="59"/>
      <c r="Q138" s="17"/>
      <c r="R138" s="23"/>
      <c r="S138" s="53"/>
      <c r="T138" s="14"/>
      <c r="U138" s="17"/>
      <c r="V138" s="23"/>
      <c r="W138" s="53"/>
      <c r="X138" s="14"/>
      <c r="Y138" s="17"/>
      <c r="Z138" s="23"/>
      <c r="AA138" s="53"/>
      <c r="AB138" s="14"/>
      <c r="AC138" s="17"/>
      <c r="AD138" s="23"/>
      <c r="AE138" s="53"/>
      <c r="AF138" s="14"/>
      <c r="AG138" s="232">
        <v>125</v>
      </c>
      <c r="AH138" s="23">
        <v>176</v>
      </c>
      <c r="AI138" s="238">
        <v>44402</v>
      </c>
      <c r="AJ138" s="229">
        <v>2288000</v>
      </c>
      <c r="AK138" s="239">
        <v>151</v>
      </c>
      <c r="AL138" s="23">
        <v>176</v>
      </c>
      <c r="AM138" s="241">
        <v>44045</v>
      </c>
      <c r="AN138" s="229">
        <v>2288000</v>
      </c>
      <c r="AO138" s="239">
        <v>159</v>
      </c>
      <c r="AP138" s="23">
        <v>176</v>
      </c>
      <c r="AQ138" s="241">
        <v>41392</v>
      </c>
      <c r="AR138" s="229">
        <v>2288000</v>
      </c>
      <c r="AS138" s="239"/>
      <c r="AT138" s="23"/>
      <c r="AU138" s="241"/>
      <c r="AV138" s="229"/>
      <c r="AW138" s="268"/>
    </row>
    <row r="139" spans="2:49" s="56" customFormat="1" x14ac:dyDescent="0.3">
      <c r="B139" s="225">
        <v>41050</v>
      </c>
      <c r="C139" s="135" t="s">
        <v>199</v>
      </c>
      <c r="D139" s="57" t="s">
        <v>143</v>
      </c>
      <c r="E139" s="57" t="s">
        <v>144</v>
      </c>
      <c r="F139" s="57" t="s">
        <v>53</v>
      </c>
      <c r="G139" s="14">
        <v>5260000</v>
      </c>
      <c r="H139" s="48">
        <v>10</v>
      </c>
      <c r="I139" s="47">
        <v>3585400</v>
      </c>
      <c r="J139" s="49">
        <v>60175118</v>
      </c>
      <c r="K139" s="50">
        <v>10</v>
      </c>
      <c r="L139" s="50">
        <v>25</v>
      </c>
      <c r="M139" s="23"/>
      <c r="N139" s="23"/>
      <c r="O139" s="59"/>
      <c r="P139" s="59"/>
      <c r="Q139" s="17"/>
      <c r="R139" s="23"/>
      <c r="S139" s="53"/>
      <c r="T139" s="14"/>
      <c r="U139" s="17"/>
      <c r="V139" s="23"/>
      <c r="W139" s="53"/>
      <c r="X139" s="14"/>
      <c r="Y139" s="17"/>
      <c r="Z139" s="23"/>
      <c r="AA139" s="53"/>
      <c r="AB139" s="14"/>
      <c r="AC139" s="17"/>
      <c r="AD139" s="23"/>
      <c r="AE139" s="53"/>
      <c r="AF139" s="14"/>
      <c r="AG139" s="232">
        <v>90</v>
      </c>
      <c r="AH139" s="23">
        <v>0</v>
      </c>
      <c r="AI139" s="238">
        <v>144252.69</v>
      </c>
      <c r="AJ139" s="229">
        <v>462000</v>
      </c>
      <c r="AK139" s="239"/>
      <c r="AL139" s="23"/>
      <c r="AM139" s="241"/>
      <c r="AN139" s="229"/>
      <c r="AO139" s="239"/>
      <c r="AP139" s="23"/>
      <c r="AQ139" s="241"/>
      <c r="AR139" s="229"/>
      <c r="AS139" s="239"/>
      <c r="AT139" s="23"/>
      <c r="AU139" s="241"/>
      <c r="AV139" s="229"/>
      <c r="AW139" s="268"/>
    </row>
    <row r="140" spans="2:49" s="56" customFormat="1" x14ac:dyDescent="0.3">
      <c r="B140" s="225">
        <v>44090</v>
      </c>
      <c r="C140" s="135" t="s">
        <v>200</v>
      </c>
      <c r="D140" s="57" t="s">
        <v>201</v>
      </c>
      <c r="E140" s="57" t="s">
        <v>27</v>
      </c>
      <c r="F140" s="57" t="s">
        <v>53</v>
      </c>
      <c r="G140" s="14">
        <v>40000000</v>
      </c>
      <c r="H140" s="48">
        <v>10</v>
      </c>
      <c r="I140" s="47">
        <v>4464880</v>
      </c>
      <c r="J140" s="49">
        <v>36810493</v>
      </c>
      <c r="K140" s="50">
        <v>25</v>
      </c>
      <c r="L140" s="50">
        <v>35</v>
      </c>
      <c r="M140" s="23"/>
      <c r="N140" s="23"/>
      <c r="O140" s="59"/>
      <c r="P140" s="59"/>
      <c r="Q140" s="17"/>
      <c r="R140" s="23"/>
      <c r="S140" s="53"/>
      <c r="T140" s="14"/>
      <c r="U140" s="17"/>
      <c r="V140" s="23"/>
      <c r="W140" s="53"/>
      <c r="X140" s="14"/>
      <c r="Y140" s="17"/>
      <c r="Z140" s="23"/>
      <c r="AA140" s="53"/>
      <c r="AB140" s="14"/>
      <c r="AC140" s="17"/>
      <c r="AD140" s="23"/>
      <c r="AE140" s="53"/>
      <c r="AF140" s="14"/>
      <c r="AG140" s="232">
        <v>928</v>
      </c>
      <c r="AH140" s="23">
        <v>0</v>
      </c>
      <c r="AI140" s="238">
        <v>119913.33</v>
      </c>
      <c r="AJ140" s="229">
        <v>4000000</v>
      </c>
      <c r="AK140" s="246">
        <v>1017</v>
      </c>
      <c r="AL140" s="23">
        <v>0</v>
      </c>
      <c r="AM140" s="241">
        <v>140209.88</v>
      </c>
      <c r="AN140" s="229">
        <v>4000000</v>
      </c>
      <c r="AO140" s="246">
        <v>981</v>
      </c>
      <c r="AP140" s="23">
        <v>170</v>
      </c>
      <c r="AQ140" s="241">
        <v>140940</v>
      </c>
      <c r="AR140" s="229">
        <v>4000000</v>
      </c>
      <c r="AS140" s="246">
        <v>1114</v>
      </c>
      <c r="AT140" s="23">
        <v>170</v>
      </c>
      <c r="AU140" s="241">
        <v>161293</v>
      </c>
      <c r="AV140" s="229">
        <v>4000000</v>
      </c>
      <c r="AW140" s="268"/>
    </row>
    <row r="141" spans="2:49" s="56" customFormat="1" x14ac:dyDescent="0.3">
      <c r="B141" s="225">
        <v>43366</v>
      </c>
      <c r="C141" s="135" t="s">
        <v>202</v>
      </c>
      <c r="D141" s="57" t="s">
        <v>203</v>
      </c>
      <c r="E141" s="57" t="s">
        <v>45</v>
      </c>
      <c r="F141" s="57" t="s">
        <v>53</v>
      </c>
      <c r="G141" s="14">
        <v>10000000</v>
      </c>
      <c r="H141" s="48">
        <v>10</v>
      </c>
      <c r="I141" s="47">
        <v>1500000</v>
      </c>
      <c r="J141" s="49">
        <v>2611082</v>
      </c>
      <c r="K141" s="50">
        <v>10</v>
      </c>
      <c r="L141" s="50">
        <v>25</v>
      </c>
      <c r="M141" s="23"/>
      <c r="N141" s="23"/>
      <c r="O141" s="59"/>
      <c r="P141" s="59"/>
      <c r="Q141" s="17"/>
      <c r="R141" s="23"/>
      <c r="S141" s="53"/>
      <c r="T141" s="14"/>
      <c r="U141" s="17"/>
      <c r="V141" s="23"/>
      <c r="W141" s="53"/>
      <c r="X141" s="14"/>
      <c r="Y141" s="17"/>
      <c r="Z141" s="23"/>
      <c r="AA141" s="53"/>
      <c r="AB141" s="14"/>
      <c r="AC141" s="17"/>
      <c r="AD141" s="23"/>
      <c r="AE141" s="53"/>
      <c r="AF141" s="14"/>
      <c r="AG141" s="232">
        <v>100</v>
      </c>
      <c r="AH141" s="23">
        <v>0</v>
      </c>
      <c r="AI141" s="238">
        <v>35672</v>
      </c>
      <c r="AJ141" s="229">
        <v>1000000</v>
      </c>
      <c r="AK141" s="239">
        <v>100</v>
      </c>
      <c r="AL141" s="23">
        <v>0</v>
      </c>
      <c r="AM141" s="241">
        <v>38649</v>
      </c>
      <c r="AN141" s="229">
        <v>1000000</v>
      </c>
      <c r="AO141" s="239">
        <v>112</v>
      </c>
      <c r="AP141" s="23">
        <v>0</v>
      </c>
      <c r="AQ141" s="241">
        <v>48084.51</v>
      </c>
      <c r="AR141" s="229">
        <v>1000000</v>
      </c>
      <c r="AS141" s="239">
        <v>112</v>
      </c>
      <c r="AT141" s="23">
        <v>0</v>
      </c>
      <c r="AU141" s="241">
        <v>41924</v>
      </c>
      <c r="AV141" s="229">
        <v>1000000</v>
      </c>
      <c r="AW141" s="250"/>
    </row>
    <row r="142" spans="2:49" s="56" customFormat="1" x14ac:dyDescent="0.3">
      <c r="B142" s="225">
        <v>41033</v>
      </c>
      <c r="C142" s="135" t="s">
        <v>204</v>
      </c>
      <c r="D142" s="57" t="s">
        <v>205</v>
      </c>
      <c r="E142" s="57" t="s">
        <v>92</v>
      </c>
      <c r="F142" s="57" t="s">
        <v>53</v>
      </c>
      <c r="G142" s="14">
        <v>12655260</v>
      </c>
      <c r="H142" s="48">
        <v>10</v>
      </c>
      <c r="I142" s="47">
        <v>5760000</v>
      </c>
      <c r="J142" s="49">
        <v>38440211.530000001</v>
      </c>
      <c r="K142" s="50">
        <v>25</v>
      </c>
      <c r="L142" s="50">
        <v>35</v>
      </c>
      <c r="M142" s="23"/>
      <c r="N142" s="23"/>
      <c r="O142" s="59"/>
      <c r="P142" s="59"/>
      <c r="Q142" s="17"/>
      <c r="R142" s="23"/>
      <c r="S142" s="53"/>
      <c r="T142" s="14"/>
      <c r="U142" s="17"/>
      <c r="V142" s="23"/>
      <c r="W142" s="53"/>
      <c r="X142" s="14"/>
      <c r="Y142" s="17"/>
      <c r="Z142" s="23"/>
      <c r="AA142" s="53"/>
      <c r="AB142" s="14"/>
      <c r="AC142" s="17"/>
      <c r="AD142" s="23"/>
      <c r="AE142" s="53"/>
      <c r="AF142" s="14"/>
      <c r="AG142" s="232">
        <v>0</v>
      </c>
      <c r="AH142" s="23">
        <v>154</v>
      </c>
      <c r="AI142" s="238">
        <v>66138.66</v>
      </c>
      <c r="AJ142" s="229">
        <v>1167012</v>
      </c>
      <c r="AK142" s="239">
        <v>0</v>
      </c>
      <c r="AL142" s="23">
        <v>162</v>
      </c>
      <c r="AM142" s="241">
        <v>77011.899999999994</v>
      </c>
      <c r="AN142" s="229">
        <v>1227636</v>
      </c>
      <c r="AO142" s="239">
        <v>0</v>
      </c>
      <c r="AP142" s="23">
        <v>162</v>
      </c>
      <c r="AQ142" s="241">
        <v>72629</v>
      </c>
      <c r="AR142" s="229">
        <v>1227636</v>
      </c>
      <c r="AS142" s="239"/>
      <c r="AT142" s="23"/>
      <c r="AU142" s="241"/>
      <c r="AV142" s="229"/>
      <c r="AW142" s="250"/>
    </row>
    <row r="143" spans="2:49" s="56" customFormat="1" x14ac:dyDescent="0.3">
      <c r="B143" s="225">
        <v>43126</v>
      </c>
      <c r="C143" s="135" t="s">
        <v>206</v>
      </c>
      <c r="D143" s="57" t="s">
        <v>21</v>
      </c>
      <c r="E143" s="57" t="s">
        <v>22</v>
      </c>
      <c r="F143" s="57" t="s">
        <v>53</v>
      </c>
      <c r="G143" s="14">
        <v>10772500</v>
      </c>
      <c r="H143" s="48">
        <v>10</v>
      </c>
      <c r="I143" s="47">
        <v>3708800</v>
      </c>
      <c r="J143" s="49">
        <v>10641615</v>
      </c>
      <c r="K143" s="50">
        <v>35</v>
      </c>
      <c r="L143" s="50">
        <v>50</v>
      </c>
      <c r="M143" s="23"/>
      <c r="N143" s="23"/>
      <c r="O143" s="59"/>
      <c r="P143" s="59"/>
      <c r="Q143" s="17"/>
      <c r="R143" s="23"/>
      <c r="S143" s="53"/>
      <c r="T143" s="14"/>
      <c r="U143" s="17"/>
      <c r="V143" s="23"/>
      <c r="W143" s="53"/>
      <c r="X143" s="14"/>
      <c r="Y143" s="17"/>
      <c r="Z143" s="23"/>
      <c r="AA143" s="53"/>
      <c r="AB143" s="14"/>
      <c r="AC143" s="17"/>
      <c r="AD143" s="23"/>
      <c r="AE143" s="53"/>
      <c r="AF143" s="14"/>
      <c r="AG143" s="232">
        <v>136</v>
      </c>
      <c r="AH143" s="23">
        <v>0</v>
      </c>
      <c r="AI143" s="238">
        <v>114586.7</v>
      </c>
      <c r="AJ143" s="229">
        <v>1020000</v>
      </c>
      <c r="AK143" s="239">
        <v>113</v>
      </c>
      <c r="AL143" s="23">
        <v>0</v>
      </c>
      <c r="AM143" s="241">
        <v>134022</v>
      </c>
      <c r="AN143" s="229">
        <v>697500</v>
      </c>
      <c r="AO143" s="239">
        <v>96</v>
      </c>
      <c r="AP143" s="23">
        <v>0</v>
      </c>
      <c r="AQ143" s="241">
        <v>129651</v>
      </c>
      <c r="AR143" s="229">
        <v>675000</v>
      </c>
      <c r="AS143" s="239">
        <v>109</v>
      </c>
      <c r="AT143" s="23">
        <v>0</v>
      </c>
      <c r="AU143" s="241">
        <v>126548</v>
      </c>
      <c r="AV143" s="229">
        <v>675000</v>
      </c>
      <c r="AW143" s="250"/>
    </row>
    <row r="144" spans="2:49" s="56" customFormat="1" x14ac:dyDescent="0.3">
      <c r="B144" s="225">
        <v>44036</v>
      </c>
      <c r="C144" s="208" t="s">
        <v>207</v>
      </c>
      <c r="D144" s="57" t="s">
        <v>208</v>
      </c>
      <c r="E144" s="57" t="s">
        <v>22</v>
      </c>
      <c r="F144" s="57" t="s">
        <v>53</v>
      </c>
      <c r="G144" s="14">
        <v>1680000</v>
      </c>
      <c r="H144" s="48">
        <v>10</v>
      </c>
      <c r="I144" s="47">
        <v>571120</v>
      </c>
      <c r="J144" s="49">
        <v>789496</v>
      </c>
      <c r="K144" s="50">
        <v>35</v>
      </c>
      <c r="L144" s="50">
        <v>50</v>
      </c>
      <c r="M144" s="23"/>
      <c r="N144" s="23"/>
      <c r="O144" s="59"/>
      <c r="P144" s="59"/>
      <c r="Q144" s="17"/>
      <c r="R144" s="23"/>
      <c r="S144" s="53"/>
      <c r="T144" s="14"/>
      <c r="U144" s="17"/>
      <c r="V144" s="23"/>
      <c r="W144" s="53"/>
      <c r="X144" s="14"/>
      <c r="Y144" s="17"/>
      <c r="Z144" s="23"/>
      <c r="AA144" s="53"/>
      <c r="AB144" s="14"/>
      <c r="AC144" s="17"/>
      <c r="AD144" s="23"/>
      <c r="AE144" s="53"/>
      <c r="AF144" s="14"/>
      <c r="AG144" s="232">
        <v>42</v>
      </c>
      <c r="AH144" s="23">
        <v>0</v>
      </c>
      <c r="AI144" s="238">
        <v>31200</v>
      </c>
      <c r="AJ144" s="229">
        <v>160000</v>
      </c>
      <c r="AK144" s="239">
        <v>35</v>
      </c>
      <c r="AL144" s="23">
        <v>0</v>
      </c>
      <c r="AM144" s="241">
        <v>30000</v>
      </c>
      <c r="AN144" s="229">
        <v>140000</v>
      </c>
      <c r="AO144" s="239"/>
      <c r="AP144" s="23"/>
      <c r="AQ144" s="241"/>
      <c r="AR144" s="229"/>
      <c r="AS144" s="239"/>
      <c r="AT144" s="23"/>
      <c r="AU144" s="241"/>
      <c r="AV144" s="229"/>
      <c r="AW144" s="250"/>
    </row>
    <row r="145" spans="2:49" s="56" customFormat="1" x14ac:dyDescent="0.3">
      <c r="B145" s="225">
        <v>42590</v>
      </c>
      <c r="C145" s="208" t="s">
        <v>209</v>
      </c>
      <c r="D145" s="57" t="s">
        <v>210</v>
      </c>
      <c r="E145" s="57" t="s">
        <v>43</v>
      </c>
      <c r="F145" s="57" t="s">
        <v>53</v>
      </c>
      <c r="G145" s="14">
        <v>4000000</v>
      </c>
      <c r="H145" s="48">
        <v>10</v>
      </c>
      <c r="I145" s="47">
        <v>1200000</v>
      </c>
      <c r="J145" s="49">
        <v>2414247</v>
      </c>
      <c r="K145" s="50">
        <v>35</v>
      </c>
      <c r="L145" s="50">
        <v>50</v>
      </c>
      <c r="M145" s="23"/>
      <c r="N145" s="23"/>
      <c r="O145" s="59"/>
      <c r="P145" s="59"/>
      <c r="Q145" s="17"/>
      <c r="R145" s="23"/>
      <c r="S145" s="53"/>
      <c r="T145" s="14"/>
      <c r="U145" s="17"/>
      <c r="V145" s="23"/>
      <c r="W145" s="53"/>
      <c r="X145" s="14"/>
      <c r="Y145" s="17"/>
      <c r="Z145" s="23"/>
      <c r="AA145" s="53"/>
      <c r="AB145" s="14"/>
      <c r="AC145" s="17"/>
      <c r="AD145" s="23"/>
      <c r="AE145" s="53"/>
      <c r="AF145" s="14"/>
      <c r="AG145" s="232">
        <v>117</v>
      </c>
      <c r="AH145" s="23">
        <v>0</v>
      </c>
      <c r="AI145" s="238">
        <v>85258.31</v>
      </c>
      <c r="AJ145" s="229">
        <v>400000</v>
      </c>
      <c r="AK145" s="239"/>
      <c r="AL145" s="23"/>
      <c r="AM145" s="241"/>
      <c r="AN145" s="229"/>
      <c r="AO145" s="239"/>
      <c r="AP145" s="23"/>
      <c r="AQ145" s="241"/>
      <c r="AR145" s="229"/>
      <c r="AS145" s="239"/>
      <c r="AT145" s="23"/>
      <c r="AU145" s="241"/>
      <c r="AV145" s="229"/>
      <c r="AW145" s="250"/>
    </row>
    <row r="146" spans="2:49" s="56" customFormat="1" x14ac:dyDescent="0.3">
      <c r="B146" s="225">
        <v>40595</v>
      </c>
      <c r="C146" s="208" t="s">
        <v>211</v>
      </c>
      <c r="D146" s="57" t="s">
        <v>21</v>
      </c>
      <c r="E146" s="57" t="s">
        <v>22</v>
      </c>
      <c r="F146" s="57" t="s">
        <v>53</v>
      </c>
      <c r="G146" s="14">
        <v>33248250</v>
      </c>
      <c r="H146" s="48">
        <v>10</v>
      </c>
      <c r="I146" s="47">
        <v>4587640</v>
      </c>
      <c r="J146" s="49">
        <v>12196448</v>
      </c>
      <c r="K146" s="50">
        <v>25</v>
      </c>
      <c r="L146" s="50">
        <v>35</v>
      </c>
      <c r="M146" s="23"/>
      <c r="N146" s="23"/>
      <c r="O146" s="59"/>
      <c r="P146" s="59"/>
      <c r="Q146" s="17"/>
      <c r="R146" s="23"/>
      <c r="S146" s="53"/>
      <c r="T146" s="14"/>
      <c r="U146" s="17"/>
      <c r="V146" s="23"/>
      <c r="W146" s="53"/>
      <c r="X146" s="14"/>
      <c r="Y146" s="17"/>
      <c r="Z146" s="23"/>
      <c r="AA146" s="53"/>
      <c r="AB146" s="14"/>
      <c r="AC146" s="17"/>
      <c r="AD146" s="23"/>
      <c r="AE146" s="53"/>
      <c r="AF146" s="14"/>
      <c r="AG146" s="232">
        <v>245</v>
      </c>
      <c r="AH146" s="23">
        <v>325</v>
      </c>
      <c r="AI146" s="238">
        <v>141157.4</v>
      </c>
      <c r="AJ146" s="229">
        <v>2819575</v>
      </c>
      <c r="AK146" s="239">
        <v>237</v>
      </c>
      <c r="AL146" s="23">
        <v>325</v>
      </c>
      <c r="AM146" s="241">
        <v>143588</v>
      </c>
      <c r="AN146" s="229">
        <v>2747575</v>
      </c>
      <c r="AO146" s="239">
        <v>226</v>
      </c>
      <c r="AP146" s="23">
        <v>325</v>
      </c>
      <c r="AQ146" s="241">
        <v>140492</v>
      </c>
      <c r="AR146" s="229">
        <v>2592075</v>
      </c>
      <c r="AS146" s="239"/>
      <c r="AT146" s="23"/>
      <c r="AU146" s="241"/>
      <c r="AV146" s="229"/>
      <c r="AW146" s="250"/>
    </row>
    <row r="147" spans="2:49" s="56" customFormat="1" x14ac:dyDescent="0.3">
      <c r="B147" s="225">
        <v>44676</v>
      </c>
      <c r="C147" s="208" t="s">
        <v>385</v>
      </c>
      <c r="D147" s="57" t="s">
        <v>212</v>
      </c>
      <c r="E147" s="57" t="s">
        <v>62</v>
      </c>
      <c r="F147" s="57" t="s">
        <v>53</v>
      </c>
      <c r="G147" s="14">
        <v>7218090</v>
      </c>
      <c r="H147" s="48">
        <v>10</v>
      </c>
      <c r="I147" s="47">
        <v>2450960</v>
      </c>
      <c r="J147" s="47">
        <v>7218090</v>
      </c>
      <c r="K147" s="50">
        <v>35</v>
      </c>
      <c r="L147" s="50">
        <v>50</v>
      </c>
      <c r="M147" s="23"/>
      <c r="N147" s="23"/>
      <c r="O147" s="59"/>
      <c r="P147" s="59"/>
      <c r="Q147" s="17"/>
      <c r="R147" s="23"/>
      <c r="S147" s="53"/>
      <c r="T147" s="14"/>
      <c r="U147" s="17"/>
      <c r="V147" s="23"/>
      <c r="W147" s="53"/>
      <c r="X147" s="14"/>
      <c r="Y147" s="17"/>
      <c r="Z147" s="23"/>
      <c r="AA147" s="53"/>
      <c r="AB147" s="14"/>
      <c r="AC147" s="17"/>
      <c r="AD147" s="23"/>
      <c r="AE147" s="53"/>
      <c r="AF147" s="14"/>
      <c r="AG147" s="232">
        <v>276</v>
      </c>
      <c r="AH147" s="23">
        <v>279</v>
      </c>
      <c r="AI147" s="238">
        <v>36662.239999999998</v>
      </c>
      <c r="AJ147" s="229">
        <v>721809</v>
      </c>
      <c r="AK147" s="239">
        <v>161</v>
      </c>
      <c r="AL147" s="23">
        <v>279</v>
      </c>
      <c r="AM147" s="241">
        <v>37440</v>
      </c>
      <c r="AN147" s="229">
        <v>721809</v>
      </c>
      <c r="AO147" s="239"/>
      <c r="AP147" s="23"/>
      <c r="AQ147" s="241"/>
      <c r="AR147" s="229"/>
      <c r="AS147" s="239"/>
      <c r="AT147" s="23"/>
      <c r="AU147" s="241"/>
      <c r="AV147" s="229"/>
      <c r="AW147" s="250"/>
    </row>
    <row r="148" spans="2:49" s="56" customFormat="1" x14ac:dyDescent="0.3">
      <c r="B148" s="225">
        <v>44559</v>
      </c>
      <c r="C148" s="208" t="s">
        <v>213</v>
      </c>
      <c r="D148" s="57" t="s">
        <v>21</v>
      </c>
      <c r="E148" s="57" t="s">
        <v>22</v>
      </c>
      <c r="F148" s="57" t="s">
        <v>53</v>
      </c>
      <c r="G148" s="14">
        <v>13084760</v>
      </c>
      <c r="H148" s="48">
        <v>10</v>
      </c>
      <c r="I148" s="47">
        <v>2821240</v>
      </c>
      <c r="J148" s="49">
        <v>14363192</v>
      </c>
      <c r="K148" s="50">
        <v>25</v>
      </c>
      <c r="L148" s="50">
        <v>35</v>
      </c>
      <c r="M148" s="23"/>
      <c r="N148" s="23"/>
      <c r="O148" s="59"/>
      <c r="P148" s="59"/>
      <c r="Q148" s="17"/>
      <c r="R148" s="23"/>
      <c r="S148" s="53"/>
      <c r="T148" s="14"/>
      <c r="U148" s="17"/>
      <c r="V148" s="23"/>
      <c r="W148" s="53"/>
      <c r="X148" s="14"/>
      <c r="Y148" s="17"/>
      <c r="Z148" s="23"/>
      <c r="AA148" s="53"/>
      <c r="AB148" s="14"/>
      <c r="AC148" s="17"/>
      <c r="AD148" s="23"/>
      <c r="AE148" s="53"/>
      <c r="AF148" s="14"/>
      <c r="AG148" s="232">
        <v>27</v>
      </c>
      <c r="AH148" s="232">
        <v>227</v>
      </c>
      <c r="AI148" s="238">
        <v>102351.82</v>
      </c>
      <c r="AJ148" s="229">
        <v>1194250</v>
      </c>
      <c r="AK148" s="239">
        <v>16</v>
      </c>
      <c r="AL148" s="23">
        <v>227</v>
      </c>
      <c r="AM148" s="241">
        <v>107245.06</v>
      </c>
      <c r="AN148" s="229">
        <v>1036000</v>
      </c>
      <c r="AO148" s="239">
        <v>24</v>
      </c>
      <c r="AP148" s="23">
        <v>227</v>
      </c>
      <c r="AQ148" s="241">
        <v>111428</v>
      </c>
      <c r="AR148" s="229">
        <v>1134375</v>
      </c>
      <c r="AS148" s="239"/>
      <c r="AT148" s="23"/>
      <c r="AU148" s="241"/>
      <c r="AV148" s="229"/>
      <c r="AW148" s="250"/>
    </row>
    <row r="149" spans="2:49" s="56" customFormat="1" x14ac:dyDescent="0.3">
      <c r="B149" s="225">
        <v>42486</v>
      </c>
      <c r="C149" s="208" t="s">
        <v>214</v>
      </c>
      <c r="D149" s="57" t="s">
        <v>107</v>
      </c>
      <c r="E149" s="57" t="s">
        <v>30</v>
      </c>
      <c r="F149" s="57" t="s">
        <v>53</v>
      </c>
      <c r="G149" s="14">
        <v>4931250</v>
      </c>
      <c r="H149" s="48">
        <v>10</v>
      </c>
      <c r="I149" s="47">
        <v>4211520</v>
      </c>
      <c r="J149" s="49">
        <v>8210166</v>
      </c>
      <c r="K149" s="50">
        <v>35</v>
      </c>
      <c r="L149" s="50">
        <v>50</v>
      </c>
      <c r="M149" s="23"/>
      <c r="N149" s="23"/>
      <c r="O149" s="59"/>
      <c r="P149" s="59"/>
      <c r="Q149" s="17"/>
      <c r="R149" s="23"/>
      <c r="S149" s="53"/>
      <c r="T149" s="14"/>
      <c r="U149" s="17"/>
      <c r="V149" s="23"/>
      <c r="W149" s="53"/>
      <c r="X149" s="14"/>
      <c r="Y149" s="17"/>
      <c r="Z149" s="23"/>
      <c r="AA149" s="53"/>
      <c r="AB149" s="14"/>
      <c r="AC149" s="17"/>
      <c r="AD149" s="23"/>
      <c r="AE149" s="53"/>
      <c r="AF149" s="14"/>
      <c r="AG149" s="232">
        <v>0</v>
      </c>
      <c r="AH149" s="23">
        <v>261</v>
      </c>
      <c r="AI149" s="238">
        <v>101795.14</v>
      </c>
      <c r="AJ149" s="229">
        <v>489375</v>
      </c>
      <c r="AK149" s="239">
        <v>0</v>
      </c>
      <c r="AL149" s="23">
        <v>238</v>
      </c>
      <c r="AM149" s="241">
        <v>106433.32</v>
      </c>
      <c r="AN149" s="229">
        <v>386750</v>
      </c>
      <c r="AO149" s="239">
        <v>0</v>
      </c>
      <c r="AP149" s="23">
        <v>236</v>
      </c>
      <c r="AQ149" s="241">
        <v>110219</v>
      </c>
      <c r="AR149" s="229">
        <v>383500</v>
      </c>
      <c r="AS149" s="239"/>
      <c r="AT149" s="23"/>
      <c r="AU149" s="241"/>
      <c r="AV149" s="229"/>
      <c r="AW149" s="250"/>
    </row>
    <row r="150" spans="2:49" s="56" customFormat="1" x14ac:dyDescent="0.3">
      <c r="B150" s="225">
        <v>44034</v>
      </c>
      <c r="C150" s="208" t="s">
        <v>362</v>
      </c>
      <c r="D150" s="57" t="s">
        <v>116</v>
      </c>
      <c r="E150" s="57" t="s">
        <v>68</v>
      </c>
      <c r="F150" s="57" t="s">
        <v>53</v>
      </c>
      <c r="G150" s="14">
        <v>11480000</v>
      </c>
      <c r="H150" s="48">
        <v>10</v>
      </c>
      <c r="I150" s="47">
        <v>506667</v>
      </c>
      <c r="J150" s="49">
        <v>1211393</v>
      </c>
      <c r="K150" s="50">
        <v>8</v>
      </c>
      <c r="L150" s="50">
        <v>19</v>
      </c>
      <c r="M150" s="23"/>
      <c r="N150" s="23"/>
      <c r="O150" s="59"/>
      <c r="P150" s="59"/>
      <c r="Q150" s="17"/>
      <c r="R150" s="23"/>
      <c r="S150" s="53"/>
      <c r="T150" s="14"/>
      <c r="U150" s="17"/>
      <c r="V150" s="23"/>
      <c r="W150" s="53"/>
      <c r="X150" s="14"/>
      <c r="Y150" s="17"/>
      <c r="Z150" s="23"/>
      <c r="AA150" s="53"/>
      <c r="AB150" s="14"/>
      <c r="AC150" s="17"/>
      <c r="AD150" s="23"/>
      <c r="AE150" s="53"/>
      <c r="AF150" s="14"/>
      <c r="AG150" s="232">
        <v>0</v>
      </c>
      <c r="AH150" s="23">
        <v>82</v>
      </c>
      <c r="AI150" s="238">
        <v>42800.480000000003</v>
      </c>
      <c r="AJ150" s="229">
        <v>1148000</v>
      </c>
      <c r="AK150" s="239">
        <v>0</v>
      </c>
      <c r="AL150" s="23">
        <v>87</v>
      </c>
      <c r="AM150" s="241">
        <v>52964</v>
      </c>
      <c r="AN150" s="229">
        <v>1148000</v>
      </c>
      <c r="AO150" s="239"/>
      <c r="AP150" s="23"/>
      <c r="AQ150" s="241"/>
      <c r="AR150" s="229"/>
      <c r="AS150" s="239"/>
      <c r="AT150" s="23"/>
      <c r="AU150" s="241"/>
      <c r="AV150" s="229"/>
      <c r="AW150" s="250"/>
    </row>
    <row r="151" spans="2:49" s="56" customFormat="1" x14ac:dyDescent="0.3">
      <c r="B151" s="225">
        <v>40756</v>
      </c>
      <c r="C151" s="233" t="s">
        <v>371</v>
      </c>
      <c r="D151" s="57" t="s">
        <v>36</v>
      </c>
      <c r="E151" s="57" t="s">
        <v>36</v>
      </c>
      <c r="F151" s="57" t="s">
        <v>53</v>
      </c>
      <c r="G151" s="14">
        <v>161350496</v>
      </c>
      <c r="H151" s="48">
        <v>10</v>
      </c>
      <c r="I151" s="47">
        <v>20000000</v>
      </c>
      <c r="J151" s="49">
        <v>166161251</v>
      </c>
      <c r="K151" s="50">
        <v>35</v>
      </c>
      <c r="L151" s="50">
        <v>50</v>
      </c>
      <c r="M151" s="23"/>
      <c r="N151" s="23"/>
      <c r="O151" s="59"/>
      <c r="P151" s="59"/>
      <c r="Q151" s="17"/>
      <c r="R151" s="23"/>
      <c r="S151" s="53"/>
      <c r="T151" s="14"/>
      <c r="U151" s="17"/>
      <c r="V151" s="23"/>
      <c r="W151" s="53"/>
      <c r="X151" s="14"/>
      <c r="Y151" s="17"/>
      <c r="Z151" s="23"/>
      <c r="AA151" s="53"/>
      <c r="AB151" s="14"/>
      <c r="AC151" s="17"/>
      <c r="AD151" s="23"/>
      <c r="AE151" s="53"/>
      <c r="AF151" s="14"/>
      <c r="AG151" s="232">
        <v>5</v>
      </c>
      <c r="AH151" s="23">
        <v>596</v>
      </c>
      <c r="AI151" s="238">
        <v>110182</v>
      </c>
      <c r="AJ151" s="229">
        <v>16135050</v>
      </c>
      <c r="AK151" s="239">
        <v>43</v>
      </c>
      <c r="AL151" s="23">
        <v>596</v>
      </c>
      <c r="AM151" s="241">
        <v>117450</v>
      </c>
      <c r="AN151" s="229">
        <v>16135050</v>
      </c>
      <c r="AO151" s="239">
        <v>8</v>
      </c>
      <c r="AP151" s="23">
        <v>596</v>
      </c>
      <c r="AQ151" s="241">
        <v>141678</v>
      </c>
      <c r="AR151" s="229">
        <v>16135050</v>
      </c>
      <c r="AS151" s="239"/>
      <c r="AT151" s="23"/>
      <c r="AU151" s="241"/>
      <c r="AV151" s="229"/>
      <c r="AW151" s="250"/>
    </row>
    <row r="152" spans="2:49" s="56" customFormat="1" x14ac:dyDescent="0.3">
      <c r="B152" s="225">
        <v>42919</v>
      </c>
      <c r="C152" s="208" t="s">
        <v>399</v>
      </c>
      <c r="D152" s="57" t="s">
        <v>112</v>
      </c>
      <c r="E152" s="57" t="s">
        <v>113</v>
      </c>
      <c r="F152" s="57" t="s">
        <v>53</v>
      </c>
      <c r="G152" s="14">
        <v>23408490</v>
      </c>
      <c r="H152" s="48">
        <v>10</v>
      </c>
      <c r="I152" s="47">
        <v>5713680</v>
      </c>
      <c r="J152" s="49">
        <v>24764638</v>
      </c>
      <c r="K152" s="50">
        <v>25</v>
      </c>
      <c r="L152" s="50">
        <v>35</v>
      </c>
      <c r="M152" s="23"/>
      <c r="N152" s="23"/>
      <c r="O152" s="59"/>
      <c r="P152" s="59"/>
      <c r="Q152" s="17"/>
      <c r="R152" s="23"/>
      <c r="S152" s="53"/>
      <c r="T152" s="14"/>
      <c r="U152" s="17"/>
      <c r="V152" s="23"/>
      <c r="W152" s="53"/>
      <c r="X152" s="14"/>
      <c r="Y152" s="17"/>
      <c r="Z152" s="23"/>
      <c r="AA152" s="53"/>
      <c r="AB152" s="14"/>
      <c r="AC152" s="17"/>
      <c r="AD152" s="23"/>
      <c r="AE152" s="53"/>
      <c r="AF152" s="14"/>
      <c r="AG152" s="239">
        <v>100</v>
      </c>
      <c r="AH152" s="23">
        <v>553</v>
      </c>
      <c r="AI152" s="241">
        <v>144629</v>
      </c>
      <c r="AJ152" s="245">
        <v>2340849</v>
      </c>
      <c r="AK152" s="240">
        <v>127</v>
      </c>
      <c r="AL152" s="240">
        <v>553</v>
      </c>
      <c r="AM152" s="240">
        <v>148036</v>
      </c>
      <c r="AN152" s="245">
        <v>2340849</v>
      </c>
      <c r="AO152" s="239">
        <v>13</v>
      </c>
      <c r="AP152" s="23">
        <v>553</v>
      </c>
      <c r="AQ152" s="241">
        <v>156193</v>
      </c>
      <c r="AR152" s="245">
        <v>2340849</v>
      </c>
      <c r="AS152" s="239"/>
      <c r="AT152" s="23"/>
      <c r="AU152" s="241"/>
      <c r="AV152" s="229"/>
      <c r="AW152" s="250"/>
    </row>
    <row r="153" spans="2:49" s="56" customFormat="1" x14ac:dyDescent="0.3">
      <c r="B153" s="225">
        <v>40463</v>
      </c>
      <c r="C153" s="208" t="s">
        <v>376</v>
      </c>
      <c r="D153" s="57" t="s">
        <v>378</v>
      </c>
      <c r="E153" s="57" t="s">
        <v>22</v>
      </c>
      <c r="F153" s="57" t="s">
        <v>53</v>
      </c>
      <c r="G153" s="14">
        <v>3017500</v>
      </c>
      <c r="H153" s="48">
        <v>10</v>
      </c>
      <c r="I153" s="47">
        <v>7419000</v>
      </c>
      <c r="J153" s="49">
        <v>19389818</v>
      </c>
      <c r="K153" s="50">
        <v>35</v>
      </c>
      <c r="L153" s="50">
        <v>50</v>
      </c>
      <c r="M153" s="23"/>
      <c r="N153" s="23"/>
      <c r="O153" s="59"/>
      <c r="P153" s="59"/>
      <c r="Q153" s="17"/>
      <c r="R153" s="23"/>
      <c r="S153" s="53"/>
      <c r="T153" s="14"/>
      <c r="U153" s="17"/>
      <c r="V153" s="23"/>
      <c r="W153" s="53"/>
      <c r="X153" s="14"/>
      <c r="Y153" s="17"/>
      <c r="Z153" s="23"/>
      <c r="AA153" s="53"/>
      <c r="AB153" s="14"/>
      <c r="AC153" s="17"/>
      <c r="AD153" s="23"/>
      <c r="AE153" s="53"/>
      <c r="AF153" s="14"/>
      <c r="AG153" s="239">
        <v>36</v>
      </c>
      <c r="AH153" s="23">
        <v>72</v>
      </c>
      <c r="AI153" s="241">
        <v>90684</v>
      </c>
      <c r="AJ153" s="245">
        <v>301750</v>
      </c>
      <c r="AK153" s="239"/>
      <c r="AL153" s="23"/>
      <c r="AM153" s="241"/>
      <c r="AN153" s="240"/>
      <c r="AO153" s="239"/>
      <c r="AP153" s="23"/>
      <c r="AQ153" s="241"/>
      <c r="AR153" s="229"/>
      <c r="AS153" s="239"/>
      <c r="AT153" s="23"/>
      <c r="AU153" s="241"/>
      <c r="AV153" s="229"/>
      <c r="AW153" s="250"/>
    </row>
    <row r="154" spans="2:49" s="56" customFormat="1" x14ac:dyDescent="0.3">
      <c r="B154" s="225">
        <v>38726</v>
      </c>
      <c r="C154" s="208" t="s">
        <v>377</v>
      </c>
      <c r="D154" s="57" t="s">
        <v>112</v>
      </c>
      <c r="E154" s="57" t="s">
        <v>113</v>
      </c>
      <c r="F154" s="57" t="s">
        <v>53</v>
      </c>
      <c r="G154" s="14">
        <v>21120000</v>
      </c>
      <c r="H154" s="48">
        <v>10</v>
      </c>
      <c r="I154" s="47">
        <v>3200000</v>
      </c>
      <c r="J154" s="49">
        <v>5717649</v>
      </c>
      <c r="K154" s="50">
        <v>35</v>
      </c>
      <c r="L154" s="50">
        <v>50</v>
      </c>
      <c r="M154" s="23"/>
      <c r="N154" s="23"/>
      <c r="O154" s="59"/>
      <c r="P154" s="59"/>
      <c r="Q154" s="17"/>
      <c r="R154" s="23"/>
      <c r="S154" s="53"/>
      <c r="T154" s="14"/>
      <c r="U154" s="17"/>
      <c r="V154" s="23"/>
      <c r="W154" s="53"/>
      <c r="X154" s="14"/>
      <c r="Y154" s="17"/>
      <c r="Z154" s="23"/>
      <c r="AA154" s="53"/>
      <c r="AB154" s="14"/>
      <c r="AC154" s="17"/>
      <c r="AD154" s="23"/>
      <c r="AE154" s="53"/>
      <c r="AF154" s="14"/>
      <c r="AG154" s="239">
        <v>0</v>
      </c>
      <c r="AH154" s="23">
        <v>438</v>
      </c>
      <c r="AI154" s="241">
        <v>89579</v>
      </c>
      <c r="AJ154" s="229">
        <v>1752000</v>
      </c>
      <c r="AK154" s="239"/>
      <c r="AL154" s="23"/>
      <c r="AM154" s="241"/>
      <c r="AN154" s="229"/>
      <c r="AO154" s="239"/>
      <c r="AP154" s="23"/>
      <c r="AQ154" s="241"/>
      <c r="AR154" s="229"/>
      <c r="AS154" s="239"/>
      <c r="AT154" s="23"/>
      <c r="AU154" s="241"/>
      <c r="AV154" s="229"/>
      <c r="AW154" s="250"/>
    </row>
    <row r="155" spans="2:49" s="56" customFormat="1" ht="31.2" x14ac:dyDescent="0.3">
      <c r="B155" s="225">
        <v>41426</v>
      </c>
      <c r="C155" s="208" t="s">
        <v>383</v>
      </c>
      <c r="D155" s="57" t="s">
        <v>381</v>
      </c>
      <c r="E155" s="57" t="s">
        <v>113</v>
      </c>
      <c r="F155" s="57" t="s">
        <v>53</v>
      </c>
      <c r="G155" s="14">
        <v>13972500</v>
      </c>
      <c r="H155" s="48">
        <v>10</v>
      </c>
      <c r="I155" s="47">
        <v>9543040</v>
      </c>
      <c r="J155" s="49">
        <v>59201737</v>
      </c>
      <c r="K155" s="50">
        <v>25</v>
      </c>
      <c r="L155" s="50">
        <v>35</v>
      </c>
      <c r="M155" s="23"/>
      <c r="N155" s="23"/>
      <c r="O155" s="59"/>
      <c r="P155" s="59"/>
      <c r="Q155" s="17"/>
      <c r="R155" s="23"/>
      <c r="S155" s="53"/>
      <c r="T155" s="14"/>
      <c r="U155" s="17"/>
      <c r="V155" s="23"/>
      <c r="W155" s="53"/>
      <c r="X155" s="14"/>
      <c r="Y155" s="17"/>
      <c r="Z155" s="23"/>
      <c r="AA155" s="53"/>
      <c r="AB155" s="14"/>
      <c r="AC155" s="17"/>
      <c r="AD155" s="23"/>
      <c r="AE155" s="53"/>
      <c r="AF155" s="14"/>
      <c r="AG155" s="239">
        <v>215</v>
      </c>
      <c r="AH155" s="23">
        <v>133</v>
      </c>
      <c r="AI155" s="241">
        <v>68800</v>
      </c>
      <c r="AJ155" s="229">
        <v>1236250</v>
      </c>
      <c r="AK155" s="239">
        <v>202</v>
      </c>
      <c r="AL155" s="23">
        <v>133</v>
      </c>
      <c r="AM155" s="241">
        <v>70111</v>
      </c>
      <c r="AN155" s="245">
        <v>1161500</v>
      </c>
      <c r="AO155" s="239">
        <v>281</v>
      </c>
      <c r="AP155" s="23">
        <v>133</v>
      </c>
      <c r="AQ155" s="241">
        <v>65873</v>
      </c>
      <c r="AR155" s="245">
        <v>1336500</v>
      </c>
      <c r="AS155" s="239">
        <v>287</v>
      </c>
      <c r="AT155" s="23">
        <v>133</v>
      </c>
      <c r="AU155" s="241">
        <v>72729</v>
      </c>
      <c r="AV155" s="229">
        <v>1397250</v>
      </c>
      <c r="AW155" s="250"/>
    </row>
    <row r="156" spans="2:49" s="56" customFormat="1" x14ac:dyDescent="0.3">
      <c r="B156" s="225">
        <v>41734</v>
      </c>
      <c r="C156" s="208" t="s">
        <v>374</v>
      </c>
      <c r="D156" s="57" t="s">
        <v>382</v>
      </c>
      <c r="E156" s="57" t="s">
        <v>82</v>
      </c>
      <c r="F156" s="57" t="s">
        <v>53</v>
      </c>
      <c r="G156" s="14">
        <v>3860000</v>
      </c>
      <c r="H156" s="48">
        <v>10</v>
      </c>
      <c r="I156" s="47">
        <v>808000</v>
      </c>
      <c r="J156" s="49">
        <v>2884144</v>
      </c>
      <c r="K156" s="50">
        <v>25</v>
      </c>
      <c r="L156" s="50">
        <v>35</v>
      </c>
      <c r="M156" s="23"/>
      <c r="N156" s="23"/>
      <c r="O156" s="59"/>
      <c r="P156" s="59"/>
      <c r="Q156" s="17"/>
      <c r="R156" s="23"/>
      <c r="S156" s="53"/>
      <c r="T156" s="14"/>
      <c r="U156" s="17"/>
      <c r="V156" s="23"/>
      <c r="W156" s="53"/>
      <c r="X156" s="14"/>
      <c r="Y156" s="17"/>
      <c r="Z156" s="23"/>
      <c r="AA156" s="53"/>
      <c r="AB156" s="14"/>
      <c r="AC156" s="17"/>
      <c r="AD156" s="23"/>
      <c r="AE156" s="53"/>
      <c r="AF156" s="14"/>
      <c r="AG156" s="232">
        <v>46</v>
      </c>
      <c r="AH156" s="23">
        <v>71</v>
      </c>
      <c r="AI156" s="238">
        <v>62500</v>
      </c>
      <c r="AJ156" s="229">
        <v>326000</v>
      </c>
      <c r="AK156" s="239"/>
      <c r="AL156" s="23"/>
      <c r="AM156" s="241"/>
      <c r="AN156" s="229"/>
      <c r="AO156" s="239"/>
      <c r="AP156" s="23"/>
      <c r="AQ156" s="241"/>
      <c r="AR156" s="229"/>
      <c r="AS156" s="239"/>
      <c r="AT156" s="23"/>
      <c r="AU156" s="241"/>
      <c r="AV156" s="229"/>
      <c r="AW156" s="250"/>
    </row>
    <row r="157" spans="2:49" s="56" customFormat="1" ht="31.2" x14ac:dyDescent="0.3">
      <c r="B157" s="225">
        <v>40709</v>
      </c>
      <c r="C157" s="208" t="s">
        <v>396</v>
      </c>
      <c r="D157" s="57" t="s">
        <v>38</v>
      </c>
      <c r="E157" s="57" t="s">
        <v>17</v>
      </c>
      <c r="F157" s="57" t="s">
        <v>53</v>
      </c>
      <c r="G157" s="14">
        <v>7440060</v>
      </c>
      <c r="H157" s="48">
        <v>10</v>
      </c>
      <c r="I157" s="248">
        <v>1988400</v>
      </c>
      <c r="J157" s="49">
        <v>4754304</v>
      </c>
      <c r="K157" s="221">
        <v>19</v>
      </c>
      <c r="L157" s="221">
        <v>27</v>
      </c>
      <c r="M157" s="23"/>
      <c r="N157" s="23"/>
      <c r="O157" s="59"/>
      <c r="P157" s="59"/>
      <c r="Q157" s="17"/>
      <c r="R157" s="23"/>
      <c r="S157" s="53"/>
      <c r="T157" s="14"/>
      <c r="U157" s="17"/>
      <c r="V157" s="23"/>
      <c r="W157" s="53"/>
      <c r="X157" s="14"/>
      <c r="Y157" s="17"/>
      <c r="Z157" s="23"/>
      <c r="AA157" s="53"/>
      <c r="AB157" s="14"/>
      <c r="AC157" s="17"/>
      <c r="AD157" s="23"/>
      <c r="AE157" s="53"/>
      <c r="AF157" s="14"/>
      <c r="AG157" s="232">
        <v>130</v>
      </c>
      <c r="AH157" s="23">
        <v>74</v>
      </c>
      <c r="AI157" s="238">
        <v>87481</v>
      </c>
      <c r="AJ157" s="229">
        <v>620256</v>
      </c>
      <c r="AK157" s="239">
        <v>157</v>
      </c>
      <c r="AL157" s="23">
        <v>74</v>
      </c>
      <c r="AM157" s="241">
        <v>88058</v>
      </c>
      <c r="AN157" s="229">
        <v>679000</v>
      </c>
      <c r="AO157" s="239"/>
      <c r="AP157" s="23"/>
      <c r="AQ157" s="241"/>
      <c r="AR157" s="241"/>
      <c r="AS157" s="239"/>
      <c r="AT157" s="23"/>
      <c r="AU157" s="241"/>
      <c r="AV157" s="241"/>
      <c r="AW157" s="250"/>
    </row>
    <row r="158" spans="2:49" s="56" customFormat="1" x14ac:dyDescent="0.3">
      <c r="B158" s="225">
        <v>42319</v>
      </c>
      <c r="C158" s="208" t="s">
        <v>215</v>
      </c>
      <c r="D158" s="57" t="s">
        <v>36</v>
      </c>
      <c r="E158" s="57" t="s">
        <v>36</v>
      </c>
      <c r="F158" s="57" t="s">
        <v>53</v>
      </c>
      <c r="G158" s="14">
        <v>138817600</v>
      </c>
      <c r="H158" s="48">
        <v>10</v>
      </c>
      <c r="I158" s="47">
        <v>15400000</v>
      </c>
      <c r="J158" s="49">
        <v>141947587</v>
      </c>
      <c r="K158" s="50">
        <v>10</v>
      </c>
      <c r="L158" s="50">
        <v>25</v>
      </c>
      <c r="M158" s="23"/>
      <c r="N158" s="23"/>
      <c r="O158" s="59"/>
      <c r="P158" s="59"/>
      <c r="Q158" s="17"/>
      <c r="R158" s="23"/>
      <c r="S158" s="53"/>
      <c r="T158" s="14"/>
      <c r="U158" s="17"/>
      <c r="V158" s="23"/>
      <c r="W158" s="53"/>
      <c r="X158" s="14"/>
      <c r="Y158" s="17"/>
      <c r="Z158" s="23"/>
      <c r="AA158" s="53"/>
      <c r="AB158" s="14"/>
      <c r="AC158" s="17"/>
      <c r="AD158" s="23"/>
      <c r="AE158" s="53"/>
      <c r="AF158" s="14"/>
      <c r="AG158" s="232"/>
      <c r="AH158" s="232"/>
      <c r="AI158" s="238"/>
      <c r="AJ158" s="229"/>
      <c r="AK158" s="239">
        <v>174</v>
      </c>
      <c r="AL158" s="23">
        <v>92</v>
      </c>
      <c r="AM158" s="241">
        <v>31624.25</v>
      </c>
      <c r="AN158" s="229">
        <v>13881760</v>
      </c>
      <c r="AO158" s="239">
        <v>204</v>
      </c>
      <c r="AP158" s="23">
        <v>92</v>
      </c>
      <c r="AQ158" s="241">
        <v>33280</v>
      </c>
      <c r="AR158" s="229">
        <v>13881760</v>
      </c>
      <c r="AS158" s="239">
        <v>204</v>
      </c>
      <c r="AT158" s="23">
        <v>92</v>
      </c>
      <c r="AU158" s="241">
        <v>42990</v>
      </c>
      <c r="AV158" s="229">
        <v>13881760</v>
      </c>
      <c r="AW158" s="250"/>
    </row>
    <row r="159" spans="2:49" s="56" customFormat="1" ht="31.2" x14ac:dyDescent="0.3">
      <c r="B159" s="225">
        <v>43583</v>
      </c>
      <c r="C159" s="208" t="s">
        <v>216</v>
      </c>
      <c r="D159" s="57" t="s">
        <v>36</v>
      </c>
      <c r="E159" s="57" t="s">
        <v>36</v>
      </c>
      <c r="F159" s="57" t="s">
        <v>53</v>
      </c>
      <c r="G159" s="14">
        <v>86235521</v>
      </c>
      <c r="H159" s="48">
        <v>10</v>
      </c>
      <c r="I159" s="47">
        <v>10579680</v>
      </c>
      <c r="J159" s="49">
        <v>86235521</v>
      </c>
      <c r="K159" s="50">
        <v>19</v>
      </c>
      <c r="L159" s="50">
        <v>27</v>
      </c>
      <c r="M159" s="23"/>
      <c r="N159" s="23"/>
      <c r="O159" s="59"/>
      <c r="P159" s="59"/>
      <c r="Q159" s="17"/>
      <c r="R159" s="23"/>
      <c r="S159" s="53"/>
      <c r="T159" s="14"/>
      <c r="U159" s="17"/>
      <c r="V159" s="23"/>
      <c r="W159" s="53"/>
      <c r="X159" s="14"/>
      <c r="Y159" s="17"/>
      <c r="Z159" s="23"/>
      <c r="AA159" s="53"/>
      <c r="AB159" s="14"/>
      <c r="AC159" s="17"/>
      <c r="AD159" s="23"/>
      <c r="AE159" s="53"/>
      <c r="AF159" s="14"/>
      <c r="AG159" s="232"/>
      <c r="AH159" s="23"/>
      <c r="AI159" s="238"/>
      <c r="AJ159" s="229"/>
      <c r="AK159" s="239">
        <v>140</v>
      </c>
      <c r="AL159" s="23">
        <v>157</v>
      </c>
      <c r="AM159" s="241">
        <v>79000</v>
      </c>
      <c r="AN159" s="229">
        <v>8623552</v>
      </c>
      <c r="AO159" s="239">
        <v>139</v>
      </c>
      <c r="AP159" s="23">
        <v>157</v>
      </c>
      <c r="AQ159" s="241">
        <v>79250</v>
      </c>
      <c r="AR159" s="229">
        <v>8623552</v>
      </c>
      <c r="AS159" s="239">
        <v>164</v>
      </c>
      <c r="AT159" s="23">
        <v>157</v>
      </c>
      <c r="AU159" s="241">
        <v>87500</v>
      </c>
      <c r="AV159" s="229">
        <v>8623552</v>
      </c>
      <c r="AW159" s="250"/>
    </row>
    <row r="160" spans="2:49" s="56" customFormat="1" x14ac:dyDescent="0.3">
      <c r="B160" s="225">
        <v>43582</v>
      </c>
      <c r="C160" s="208" t="s">
        <v>217</v>
      </c>
      <c r="D160" s="57" t="s">
        <v>36</v>
      </c>
      <c r="E160" s="57" t="s">
        <v>36</v>
      </c>
      <c r="F160" s="57" t="s">
        <v>53</v>
      </c>
      <c r="G160" s="14">
        <v>78662210</v>
      </c>
      <c r="H160" s="48">
        <v>10</v>
      </c>
      <c r="I160" s="47">
        <v>9748960</v>
      </c>
      <c r="J160" s="49">
        <v>78662210</v>
      </c>
      <c r="K160" s="50">
        <v>19</v>
      </c>
      <c r="L160" s="50">
        <v>27</v>
      </c>
      <c r="M160" s="23"/>
      <c r="N160" s="23"/>
      <c r="O160" s="59"/>
      <c r="P160" s="59"/>
      <c r="Q160" s="17"/>
      <c r="R160" s="23"/>
      <c r="S160" s="53"/>
      <c r="T160" s="14"/>
      <c r="U160" s="17"/>
      <c r="V160" s="23"/>
      <c r="W160" s="53"/>
      <c r="X160" s="14"/>
      <c r="Y160" s="17"/>
      <c r="Z160" s="23"/>
      <c r="AA160" s="53"/>
      <c r="AB160" s="14"/>
      <c r="AC160" s="17"/>
      <c r="AD160" s="23"/>
      <c r="AE160" s="53"/>
      <c r="AF160" s="14"/>
      <c r="AG160" s="232"/>
      <c r="AH160" s="23"/>
      <c r="AI160" s="238"/>
      <c r="AJ160" s="229"/>
      <c r="AK160" s="239">
        <v>0</v>
      </c>
      <c r="AL160" s="23">
        <v>419</v>
      </c>
      <c r="AM160" s="241">
        <v>77234.77</v>
      </c>
      <c r="AN160" s="229">
        <v>7866221</v>
      </c>
      <c r="AO160" s="239">
        <v>1</v>
      </c>
      <c r="AP160" s="23">
        <v>341</v>
      </c>
      <c r="AQ160" s="241">
        <v>81426</v>
      </c>
      <c r="AR160" s="229">
        <v>7866221</v>
      </c>
      <c r="AS160" s="239">
        <v>38</v>
      </c>
      <c r="AT160" s="23">
        <v>341</v>
      </c>
      <c r="AU160" s="241">
        <v>75000</v>
      </c>
      <c r="AV160" s="229">
        <v>7866221</v>
      </c>
      <c r="AW160" s="250"/>
    </row>
    <row r="161" spans="1:49" s="56" customFormat="1" x14ac:dyDescent="0.3">
      <c r="B161" s="225">
        <v>43584</v>
      </c>
      <c r="C161" s="208" t="s">
        <v>218</v>
      </c>
      <c r="D161" s="57" t="s">
        <v>36</v>
      </c>
      <c r="E161" s="57" t="s">
        <v>36</v>
      </c>
      <c r="F161" s="57" t="s">
        <v>53</v>
      </c>
      <c r="G161" s="14">
        <v>78268436</v>
      </c>
      <c r="H161" s="48">
        <v>10</v>
      </c>
      <c r="I161" s="47">
        <v>9748960</v>
      </c>
      <c r="J161" s="49">
        <v>72268436</v>
      </c>
      <c r="K161" s="50">
        <v>27</v>
      </c>
      <c r="L161" s="50">
        <v>38</v>
      </c>
      <c r="M161" s="23"/>
      <c r="N161" s="23"/>
      <c r="O161" s="59"/>
      <c r="P161" s="59"/>
      <c r="Q161" s="17"/>
      <c r="R161" s="23"/>
      <c r="S161" s="53"/>
      <c r="T161" s="14"/>
      <c r="U161" s="17"/>
      <c r="V161" s="23"/>
      <c r="W161" s="53"/>
      <c r="X161" s="14"/>
      <c r="Y161" s="17"/>
      <c r="Z161" s="23"/>
      <c r="AA161" s="53"/>
      <c r="AB161" s="14"/>
      <c r="AC161" s="17"/>
      <c r="AD161" s="23"/>
      <c r="AE161" s="53"/>
      <c r="AF161" s="14"/>
      <c r="AG161" s="232"/>
      <c r="AH161" s="23"/>
      <c r="AI161" s="238"/>
      <c r="AJ161" s="229"/>
      <c r="AK161" s="239">
        <v>63</v>
      </c>
      <c r="AL161" s="23">
        <v>188</v>
      </c>
      <c r="AM161" s="241">
        <v>134997.1</v>
      </c>
      <c r="AN161" s="229">
        <v>7555853</v>
      </c>
      <c r="AO161" s="239">
        <v>58</v>
      </c>
      <c r="AP161" s="23">
        <v>188</v>
      </c>
      <c r="AQ161" s="241">
        <v>70202</v>
      </c>
      <c r="AR161" s="229">
        <v>5000000</v>
      </c>
      <c r="AS161" s="239">
        <v>81</v>
      </c>
      <c r="AT161" s="23">
        <v>188</v>
      </c>
      <c r="AU161" s="241">
        <v>73001</v>
      </c>
      <c r="AV161" s="229">
        <v>7826843</v>
      </c>
      <c r="AW161" s="250"/>
    </row>
    <row r="162" spans="1:49" s="56" customFormat="1" x14ac:dyDescent="0.3">
      <c r="B162" s="225">
        <v>44905</v>
      </c>
      <c r="C162" s="208" t="s">
        <v>219</v>
      </c>
      <c r="D162" s="57" t="s">
        <v>72</v>
      </c>
      <c r="E162" s="57" t="s">
        <v>73</v>
      </c>
      <c r="F162" s="57" t="s">
        <v>53</v>
      </c>
      <c r="G162" s="14">
        <v>5550000</v>
      </c>
      <c r="H162" s="48">
        <v>10</v>
      </c>
      <c r="I162" s="47">
        <v>400000</v>
      </c>
      <c r="J162" s="49">
        <v>2944610</v>
      </c>
      <c r="K162" s="50">
        <v>35</v>
      </c>
      <c r="L162" s="50">
        <v>50</v>
      </c>
      <c r="M162" s="23"/>
      <c r="N162" s="23"/>
      <c r="O162" s="59"/>
      <c r="P162" s="59"/>
      <c r="Q162" s="17"/>
      <c r="R162" s="23"/>
      <c r="S162" s="53"/>
      <c r="T162" s="14"/>
      <c r="U162" s="17"/>
      <c r="V162" s="23"/>
      <c r="W162" s="53"/>
      <c r="X162" s="14"/>
      <c r="Y162" s="17"/>
      <c r="Z162" s="23"/>
      <c r="AA162" s="53"/>
      <c r="AB162" s="14"/>
      <c r="AC162" s="17"/>
      <c r="AD162" s="23"/>
      <c r="AE162" s="53"/>
      <c r="AF162" s="14"/>
      <c r="AG162" s="232"/>
      <c r="AH162" s="23"/>
      <c r="AI162" s="238"/>
      <c r="AJ162" s="229"/>
      <c r="AK162" s="239">
        <v>143</v>
      </c>
      <c r="AL162" s="23">
        <v>0</v>
      </c>
      <c r="AM162" s="241">
        <v>26000</v>
      </c>
      <c r="AN162" s="229">
        <v>555000</v>
      </c>
      <c r="AO162" s="239">
        <v>94</v>
      </c>
      <c r="AP162" s="23">
        <v>0</v>
      </c>
      <c r="AQ162" s="241">
        <v>24570</v>
      </c>
      <c r="AR162" s="229">
        <v>470000</v>
      </c>
      <c r="AS162" s="239">
        <v>90</v>
      </c>
      <c r="AT162" s="23">
        <v>0</v>
      </c>
      <c r="AU162" s="241">
        <v>33395</v>
      </c>
      <c r="AV162" s="229">
        <v>450000</v>
      </c>
      <c r="AW162" s="250"/>
    </row>
    <row r="163" spans="1:49" s="56" customFormat="1" x14ac:dyDescent="0.3">
      <c r="B163" s="225">
        <v>44433</v>
      </c>
      <c r="C163" s="208" t="s">
        <v>220</v>
      </c>
      <c r="D163" s="57" t="s">
        <v>221</v>
      </c>
      <c r="E163" s="57" t="s">
        <v>62</v>
      </c>
      <c r="F163" s="57" t="s">
        <v>53</v>
      </c>
      <c r="G163" s="14">
        <v>11000000</v>
      </c>
      <c r="H163" s="48">
        <v>10</v>
      </c>
      <c r="I163" s="47">
        <v>1239000</v>
      </c>
      <c r="J163" s="49">
        <v>6106551</v>
      </c>
      <c r="K163" s="50">
        <v>10</v>
      </c>
      <c r="L163" s="50">
        <v>25</v>
      </c>
      <c r="M163" s="23"/>
      <c r="N163" s="23"/>
      <c r="O163" s="59"/>
      <c r="P163" s="59"/>
      <c r="Q163" s="17"/>
      <c r="R163" s="23"/>
      <c r="S163" s="53"/>
      <c r="T163" s="14"/>
      <c r="U163" s="17"/>
      <c r="V163" s="23"/>
      <c r="W163" s="53"/>
      <c r="X163" s="14"/>
      <c r="Y163" s="17"/>
      <c r="Z163" s="23"/>
      <c r="AA163" s="53"/>
      <c r="AB163" s="14"/>
      <c r="AC163" s="17"/>
      <c r="AD163" s="23"/>
      <c r="AE163" s="53"/>
      <c r="AF163" s="14"/>
      <c r="AG163" s="232"/>
      <c r="AH163" s="23"/>
      <c r="AI163" s="238"/>
      <c r="AJ163" s="229"/>
      <c r="AK163" s="239">
        <v>91</v>
      </c>
      <c r="AL163" s="23">
        <v>0</v>
      </c>
      <c r="AM163" s="241">
        <v>32653.05</v>
      </c>
      <c r="AN163" s="229">
        <v>1001000</v>
      </c>
      <c r="AO163" s="239">
        <v>101</v>
      </c>
      <c r="AP163" s="23">
        <v>0</v>
      </c>
      <c r="AQ163" s="241">
        <v>33280</v>
      </c>
      <c r="AR163" s="229">
        <v>1100000</v>
      </c>
      <c r="AS163" s="239">
        <v>105</v>
      </c>
      <c r="AT163" s="23">
        <v>0</v>
      </c>
      <c r="AU163" s="241">
        <v>34853</v>
      </c>
      <c r="AV163" s="229">
        <v>1100000</v>
      </c>
      <c r="AW163" s="250"/>
    </row>
    <row r="164" spans="1:49" s="56" customFormat="1" ht="31.2" x14ac:dyDescent="0.3">
      <c r="B164" s="225">
        <v>44585</v>
      </c>
      <c r="C164" s="208" t="s">
        <v>222</v>
      </c>
      <c r="D164" s="57" t="s">
        <v>223</v>
      </c>
      <c r="E164" s="57" t="s">
        <v>30</v>
      </c>
      <c r="F164" s="57" t="s">
        <v>53</v>
      </c>
      <c r="G164" s="14">
        <v>22590000</v>
      </c>
      <c r="H164" s="48">
        <v>10</v>
      </c>
      <c r="I164" s="47">
        <v>8830760</v>
      </c>
      <c r="J164" s="49">
        <v>20470918</v>
      </c>
      <c r="K164" s="50">
        <v>25</v>
      </c>
      <c r="L164" s="50">
        <v>35</v>
      </c>
      <c r="M164" s="23"/>
      <c r="N164" s="23"/>
      <c r="O164" s="59"/>
      <c r="P164" s="59"/>
      <c r="Q164" s="17"/>
      <c r="R164" s="23"/>
      <c r="S164" s="53"/>
      <c r="T164" s="14"/>
      <c r="U164" s="17"/>
      <c r="V164" s="23"/>
      <c r="W164" s="53"/>
      <c r="X164" s="14"/>
      <c r="Y164" s="17"/>
      <c r="Z164" s="23"/>
      <c r="AA164" s="53"/>
      <c r="AB164" s="14"/>
      <c r="AC164" s="17"/>
      <c r="AD164" s="23"/>
      <c r="AE164" s="53"/>
      <c r="AF164" s="14"/>
      <c r="AG164" s="232"/>
      <c r="AH164" s="23"/>
      <c r="AI164" s="238"/>
      <c r="AJ164" s="229"/>
      <c r="AK164" s="239">
        <v>182</v>
      </c>
      <c r="AL164" s="23">
        <v>474</v>
      </c>
      <c r="AM164" s="241">
        <v>73045.06</v>
      </c>
      <c r="AN164" s="229">
        <v>1885500</v>
      </c>
      <c r="AO164" s="239">
        <v>124</v>
      </c>
      <c r="AP164" s="23">
        <v>474</v>
      </c>
      <c r="AQ164" s="241">
        <v>74376</v>
      </c>
      <c r="AR164" s="229">
        <v>1534250</v>
      </c>
      <c r="AS164" s="239">
        <v>119</v>
      </c>
      <c r="AT164" s="23">
        <v>474</v>
      </c>
      <c r="AU164" s="241">
        <v>75055</v>
      </c>
      <c r="AV164" s="229">
        <v>1513000</v>
      </c>
      <c r="AW164" s="250"/>
    </row>
    <row r="165" spans="1:49" s="56" customFormat="1" x14ac:dyDescent="0.3">
      <c r="B165" s="225">
        <v>44705</v>
      </c>
      <c r="C165" s="208" t="s">
        <v>224</v>
      </c>
      <c r="D165" s="57" t="s">
        <v>167</v>
      </c>
      <c r="E165" s="57" t="s">
        <v>62</v>
      </c>
      <c r="F165" s="57" t="s">
        <v>53</v>
      </c>
      <c r="G165" s="14">
        <v>2520000</v>
      </c>
      <c r="H165" s="48">
        <v>10</v>
      </c>
      <c r="I165" s="47">
        <v>405880</v>
      </c>
      <c r="J165" s="49">
        <v>819671</v>
      </c>
      <c r="K165" s="50">
        <v>35</v>
      </c>
      <c r="L165" s="50">
        <v>50</v>
      </c>
      <c r="M165" s="23"/>
      <c r="N165" s="23"/>
      <c r="O165" s="59"/>
      <c r="P165" s="59"/>
      <c r="Q165" s="17"/>
      <c r="R165" s="23"/>
      <c r="S165" s="53"/>
      <c r="T165" s="14"/>
      <c r="U165" s="17"/>
      <c r="V165" s="23"/>
      <c r="W165" s="53"/>
      <c r="X165" s="14"/>
      <c r="Y165" s="17"/>
      <c r="Z165" s="23"/>
      <c r="AA165" s="53"/>
      <c r="AB165" s="14"/>
      <c r="AC165" s="17"/>
      <c r="AD165" s="23"/>
      <c r="AE165" s="53"/>
      <c r="AF165" s="14"/>
      <c r="AG165" s="232"/>
      <c r="AH165" s="23"/>
      <c r="AI165" s="238"/>
      <c r="AJ165" s="229"/>
      <c r="AK165" s="239">
        <v>37</v>
      </c>
      <c r="AL165" s="23">
        <v>0</v>
      </c>
      <c r="AM165" s="241">
        <v>61634.559999999998</v>
      </c>
      <c r="AN165" s="229">
        <v>222000</v>
      </c>
      <c r="AO165" s="239">
        <v>43</v>
      </c>
      <c r="AP165" s="23">
        <v>0</v>
      </c>
      <c r="AQ165" s="241">
        <v>102315</v>
      </c>
      <c r="AR165" s="229">
        <v>252000</v>
      </c>
      <c r="AS165" s="239">
        <v>48</v>
      </c>
      <c r="AT165" s="23">
        <v>0</v>
      </c>
      <c r="AU165" s="241">
        <v>103303</v>
      </c>
      <c r="AV165" s="229">
        <v>252000</v>
      </c>
      <c r="AW165" s="250"/>
    </row>
    <row r="166" spans="1:49" s="56" customFormat="1" x14ac:dyDescent="0.3">
      <c r="B166" s="225">
        <v>42313</v>
      </c>
      <c r="C166" s="208" t="s">
        <v>225</v>
      </c>
      <c r="D166" s="57" t="s">
        <v>77</v>
      </c>
      <c r="E166" s="57" t="s">
        <v>36</v>
      </c>
      <c r="F166" s="57" t="s">
        <v>53</v>
      </c>
      <c r="G166" s="14">
        <v>16848620</v>
      </c>
      <c r="H166" s="48">
        <v>10</v>
      </c>
      <c r="I166" s="47">
        <v>3392827</v>
      </c>
      <c r="J166" s="49">
        <v>14256993</v>
      </c>
      <c r="K166" s="50">
        <v>25</v>
      </c>
      <c r="L166" s="50">
        <v>35</v>
      </c>
      <c r="M166" s="23"/>
      <c r="N166" s="23"/>
      <c r="O166" s="59"/>
      <c r="P166" s="59"/>
      <c r="Q166" s="17"/>
      <c r="R166" s="23"/>
      <c r="S166" s="53"/>
      <c r="T166" s="14"/>
      <c r="U166" s="17"/>
      <c r="V166" s="23"/>
      <c r="W166" s="53"/>
      <c r="X166" s="14"/>
      <c r="Y166" s="17"/>
      <c r="Z166" s="23"/>
      <c r="AA166" s="53"/>
      <c r="AB166" s="14"/>
      <c r="AC166" s="17"/>
      <c r="AD166" s="23"/>
      <c r="AE166" s="53"/>
      <c r="AF166" s="14"/>
      <c r="AG166" s="232"/>
      <c r="AH166" s="23"/>
      <c r="AI166" s="238"/>
      <c r="AJ166" s="229"/>
      <c r="AK166" s="239">
        <v>85</v>
      </c>
      <c r="AL166" s="23">
        <v>357</v>
      </c>
      <c r="AM166" s="241">
        <v>74131.13</v>
      </c>
      <c r="AN166" s="229">
        <v>1322362</v>
      </c>
      <c r="AO166" s="239">
        <v>83</v>
      </c>
      <c r="AP166" s="23">
        <v>357</v>
      </c>
      <c r="AQ166" s="241">
        <v>77493</v>
      </c>
      <c r="AR166" s="229">
        <v>1309862</v>
      </c>
      <c r="AS166" s="239">
        <v>84</v>
      </c>
      <c r="AT166" s="23">
        <v>357</v>
      </c>
      <c r="AU166" s="241">
        <v>75000</v>
      </c>
      <c r="AV166" s="229">
        <v>1316112</v>
      </c>
      <c r="AW166" s="250"/>
    </row>
    <row r="167" spans="1:49" s="56" customFormat="1" x14ac:dyDescent="0.3">
      <c r="B167" s="225">
        <v>42315</v>
      </c>
      <c r="C167" s="208" t="s">
        <v>226</v>
      </c>
      <c r="D167" s="57" t="s">
        <v>87</v>
      </c>
      <c r="E167" s="57" t="s">
        <v>62</v>
      </c>
      <c r="F167" s="57" t="s">
        <v>53</v>
      </c>
      <c r="G167" s="14">
        <v>17000000</v>
      </c>
      <c r="H167" s="48">
        <v>10</v>
      </c>
      <c r="I167" s="47">
        <v>720880</v>
      </c>
      <c r="J167" s="49">
        <v>2407951.5099999998</v>
      </c>
      <c r="K167" s="50">
        <v>35</v>
      </c>
      <c r="L167" s="50">
        <v>50</v>
      </c>
      <c r="M167" s="23"/>
      <c r="N167" s="23"/>
      <c r="O167" s="59"/>
      <c r="P167" s="59"/>
      <c r="Q167" s="17"/>
      <c r="R167" s="23"/>
      <c r="S167" s="53"/>
      <c r="T167" s="14"/>
      <c r="U167" s="17"/>
      <c r="V167" s="23"/>
      <c r="W167" s="53"/>
      <c r="X167" s="14"/>
      <c r="Y167" s="17"/>
      <c r="Z167" s="23"/>
      <c r="AA167" s="53"/>
      <c r="AB167" s="14"/>
      <c r="AC167" s="17"/>
      <c r="AD167" s="23"/>
      <c r="AE167" s="53"/>
      <c r="AF167" s="14"/>
      <c r="AG167" s="232"/>
      <c r="AH167" s="23"/>
      <c r="AI167" s="238"/>
      <c r="AJ167" s="229"/>
      <c r="AK167" s="239">
        <v>179</v>
      </c>
      <c r="AL167" s="23">
        <v>0</v>
      </c>
      <c r="AM167" s="241">
        <v>30577</v>
      </c>
      <c r="AN167" s="229">
        <v>1521500</v>
      </c>
      <c r="AO167" s="239">
        <v>222</v>
      </c>
      <c r="AP167" s="23">
        <v>0</v>
      </c>
      <c r="AQ167" s="241">
        <v>32032</v>
      </c>
      <c r="AR167" s="229">
        <v>1700000</v>
      </c>
      <c r="AS167" s="239">
        <v>203</v>
      </c>
      <c r="AT167" s="23">
        <v>0</v>
      </c>
      <c r="AU167" s="241">
        <v>35880</v>
      </c>
      <c r="AV167" s="229">
        <v>1700000</v>
      </c>
      <c r="AW167" s="250"/>
    </row>
    <row r="168" spans="1:49" s="56" customFormat="1" x14ac:dyDescent="0.3">
      <c r="B168" s="225">
        <v>44626</v>
      </c>
      <c r="C168" s="208" t="s">
        <v>368</v>
      </c>
      <c r="D168" s="57" t="s">
        <v>380</v>
      </c>
      <c r="E168" s="57" t="s">
        <v>73</v>
      </c>
      <c r="F168" s="57" t="s">
        <v>53</v>
      </c>
      <c r="G168" s="14">
        <v>20757500</v>
      </c>
      <c r="H168" s="48">
        <v>10</v>
      </c>
      <c r="I168" s="47">
        <v>3666667</v>
      </c>
      <c r="J168" s="49">
        <v>26296549.550000001</v>
      </c>
      <c r="K168" s="50">
        <v>10</v>
      </c>
      <c r="L168" s="50">
        <v>25</v>
      </c>
      <c r="M168" s="23"/>
      <c r="N168" s="23"/>
      <c r="O168" s="59"/>
      <c r="P168" s="59"/>
      <c r="Q168" s="17"/>
      <c r="R168" s="23"/>
      <c r="S168" s="53"/>
      <c r="T168" s="14"/>
      <c r="U168" s="17"/>
      <c r="V168" s="23"/>
      <c r="W168" s="53"/>
      <c r="X168" s="14"/>
      <c r="Y168" s="17"/>
      <c r="Z168" s="23"/>
      <c r="AA168" s="53"/>
      <c r="AB168" s="14"/>
      <c r="AC168" s="17"/>
      <c r="AD168" s="23"/>
      <c r="AE168" s="53"/>
      <c r="AF168" s="14"/>
      <c r="AG168" s="232"/>
      <c r="AH168" s="23"/>
      <c r="AI168" s="238"/>
      <c r="AJ168" s="229"/>
      <c r="AK168" s="239">
        <v>3</v>
      </c>
      <c r="AL168" s="23">
        <v>361</v>
      </c>
      <c r="AM168" s="241">
        <v>65749</v>
      </c>
      <c r="AN168" s="229">
        <v>2075750</v>
      </c>
      <c r="AO168" s="239">
        <v>0</v>
      </c>
      <c r="AP168" s="23">
        <v>349</v>
      </c>
      <c r="AQ168" s="241">
        <v>56597</v>
      </c>
      <c r="AR168" s="229">
        <v>2006750</v>
      </c>
      <c r="AS168" s="239">
        <v>0</v>
      </c>
      <c r="AT168" s="23">
        <v>357</v>
      </c>
      <c r="AU168" s="241">
        <v>53914</v>
      </c>
      <c r="AV168" s="229">
        <v>2052750</v>
      </c>
      <c r="AW168" s="250"/>
    </row>
    <row r="169" spans="1:49" s="56" customFormat="1" x14ac:dyDescent="0.3">
      <c r="B169" s="225">
        <v>42594</v>
      </c>
      <c r="C169" s="208" t="s">
        <v>369</v>
      </c>
      <c r="D169" s="57" t="s">
        <v>210</v>
      </c>
      <c r="E169" s="57" t="s">
        <v>43</v>
      </c>
      <c r="F169" s="57" t="s">
        <v>53</v>
      </c>
      <c r="G169" s="14">
        <v>30590000</v>
      </c>
      <c r="H169" s="48">
        <v>10</v>
      </c>
      <c r="I169" s="47">
        <v>13573080</v>
      </c>
      <c r="J169" s="49">
        <v>37053969</v>
      </c>
      <c r="K169" s="50">
        <v>25</v>
      </c>
      <c r="L169" s="50">
        <v>35</v>
      </c>
      <c r="M169" s="23"/>
      <c r="N169" s="23"/>
      <c r="O169" s="59"/>
      <c r="P169" s="59"/>
      <c r="Q169" s="17"/>
      <c r="R169" s="23"/>
      <c r="S169" s="53"/>
      <c r="T169" s="14"/>
      <c r="U169" s="17"/>
      <c r="V169" s="23"/>
      <c r="W169" s="53"/>
      <c r="X169" s="14"/>
      <c r="Y169" s="17"/>
      <c r="Z169" s="23"/>
      <c r="AA169" s="53"/>
      <c r="AB169" s="14"/>
      <c r="AC169" s="17"/>
      <c r="AD169" s="23"/>
      <c r="AE169" s="53"/>
      <c r="AF169" s="14"/>
      <c r="AG169" s="232"/>
      <c r="AH169" s="23"/>
      <c r="AI169" s="238"/>
      <c r="AJ169" s="229"/>
      <c r="AK169" s="239">
        <v>132</v>
      </c>
      <c r="AL169" s="23">
        <v>552</v>
      </c>
      <c r="AM169" s="241">
        <v>97157</v>
      </c>
      <c r="AN169" s="229">
        <v>2244000</v>
      </c>
      <c r="AO169" s="239"/>
      <c r="AP169" s="23"/>
      <c r="AQ169" s="241"/>
      <c r="AR169" s="229"/>
      <c r="AS169" s="239"/>
      <c r="AT169" s="23"/>
      <c r="AU169" s="241"/>
      <c r="AV169" s="229"/>
      <c r="AW169" s="250"/>
    </row>
    <row r="170" spans="1:49" s="56" customFormat="1" x14ac:dyDescent="0.3">
      <c r="B170" s="225">
        <v>44251</v>
      </c>
      <c r="C170" s="208" t="s">
        <v>372</v>
      </c>
      <c r="D170" s="57" t="s">
        <v>21</v>
      </c>
      <c r="E170" s="57" t="s">
        <v>22</v>
      </c>
      <c r="F170" s="57" t="s">
        <v>53</v>
      </c>
      <c r="G170" s="14">
        <v>3410000</v>
      </c>
      <c r="H170" s="48">
        <v>8</v>
      </c>
      <c r="I170" s="47">
        <v>974880</v>
      </c>
      <c r="J170" s="49">
        <v>2878541.49</v>
      </c>
      <c r="K170" s="50">
        <v>10</v>
      </c>
      <c r="L170" s="50">
        <v>25</v>
      </c>
      <c r="M170" s="23"/>
      <c r="N170" s="23"/>
      <c r="O170" s="59"/>
      <c r="P170" s="59"/>
      <c r="Q170" s="17"/>
      <c r="R170" s="23"/>
      <c r="S170" s="53"/>
      <c r="T170" s="14"/>
      <c r="U170" s="17"/>
      <c r="V170" s="23"/>
      <c r="W170" s="53"/>
      <c r="X170" s="14"/>
      <c r="Y170" s="17"/>
      <c r="Z170" s="23"/>
      <c r="AA170" s="53"/>
      <c r="AB170" s="14"/>
      <c r="AC170" s="17"/>
      <c r="AD170" s="23"/>
      <c r="AE170" s="53"/>
      <c r="AF170" s="14"/>
      <c r="AG170" s="232"/>
      <c r="AH170" s="23"/>
      <c r="AI170" s="238"/>
      <c r="AJ170" s="229"/>
      <c r="AK170" s="239">
        <v>46</v>
      </c>
      <c r="AL170" s="23">
        <v>0</v>
      </c>
      <c r="AM170" s="241">
        <v>46978</v>
      </c>
      <c r="AN170" s="229">
        <v>356500</v>
      </c>
      <c r="AO170" s="239">
        <v>45</v>
      </c>
      <c r="AP170" s="23">
        <v>0</v>
      </c>
      <c r="AQ170" s="241">
        <v>93440</v>
      </c>
      <c r="AR170" s="229">
        <v>348750</v>
      </c>
      <c r="AS170" s="239">
        <v>48</v>
      </c>
      <c r="AT170" s="23">
        <v>0</v>
      </c>
      <c r="AU170" s="241">
        <v>130000</v>
      </c>
      <c r="AV170" s="229">
        <v>372000</v>
      </c>
      <c r="AW170" s="250"/>
    </row>
    <row r="171" spans="1:49" s="56" customFormat="1" x14ac:dyDescent="0.3">
      <c r="B171" s="225">
        <v>42416</v>
      </c>
      <c r="C171" s="208" t="s">
        <v>370</v>
      </c>
      <c r="D171" s="57" t="s">
        <v>64</v>
      </c>
      <c r="E171" s="57" t="s">
        <v>22</v>
      </c>
      <c r="F171" s="57" t="s">
        <v>53</v>
      </c>
      <c r="G171" s="14">
        <v>14843750</v>
      </c>
      <c r="H171" s="48">
        <v>10</v>
      </c>
      <c r="I171" s="47">
        <v>5208080</v>
      </c>
      <c r="J171" s="49">
        <v>31073271</v>
      </c>
      <c r="K171" s="50">
        <v>25</v>
      </c>
      <c r="L171" s="50">
        <v>35</v>
      </c>
      <c r="M171" s="23"/>
      <c r="N171" s="23"/>
      <c r="O171" s="59"/>
      <c r="P171" s="59"/>
      <c r="Q171" s="17"/>
      <c r="R171" s="23"/>
      <c r="S171" s="53"/>
      <c r="T171" s="14"/>
      <c r="U171" s="17"/>
      <c r="V171" s="23"/>
      <c r="W171" s="53"/>
      <c r="X171" s="14"/>
      <c r="Y171" s="17"/>
      <c r="Z171" s="23"/>
      <c r="AA171" s="53"/>
      <c r="AB171" s="14"/>
      <c r="AC171" s="17"/>
      <c r="AD171" s="23"/>
      <c r="AE171" s="53"/>
      <c r="AF171" s="14"/>
      <c r="AG171" s="232"/>
      <c r="AH171" s="23"/>
      <c r="AI171" s="238"/>
      <c r="AJ171" s="229"/>
      <c r="AK171" s="239">
        <v>43</v>
      </c>
      <c r="AL171" s="23">
        <v>475</v>
      </c>
      <c r="AM171" s="241">
        <v>132734</v>
      </c>
      <c r="AN171" s="229">
        <v>1484375</v>
      </c>
      <c r="AO171" s="239">
        <v>34</v>
      </c>
      <c r="AP171" s="23">
        <v>475</v>
      </c>
      <c r="AQ171" s="241">
        <v>144310</v>
      </c>
      <c r="AR171" s="229">
        <v>1484375</v>
      </c>
      <c r="AS171" s="239">
        <v>0</v>
      </c>
      <c r="AT171" s="23">
        <v>455</v>
      </c>
      <c r="AU171" s="241">
        <v>137178</v>
      </c>
      <c r="AV171" s="229">
        <v>1365000</v>
      </c>
      <c r="AW171" s="250"/>
    </row>
    <row r="172" spans="1:49" s="56" customFormat="1" x14ac:dyDescent="0.3">
      <c r="B172" s="225">
        <v>42707</v>
      </c>
      <c r="C172" s="208" t="s">
        <v>375</v>
      </c>
      <c r="D172" s="57" t="s">
        <v>158</v>
      </c>
      <c r="E172" s="57" t="s">
        <v>62</v>
      </c>
      <c r="F172" s="57" t="s">
        <v>53</v>
      </c>
      <c r="G172" s="14">
        <v>7650000</v>
      </c>
      <c r="H172" s="48">
        <v>10</v>
      </c>
      <c r="I172" s="47">
        <v>3040000</v>
      </c>
      <c r="J172" s="49">
        <v>23498210</v>
      </c>
      <c r="K172" s="50">
        <v>10</v>
      </c>
      <c r="L172" s="50">
        <v>25</v>
      </c>
      <c r="M172" s="23"/>
      <c r="N172" s="23"/>
      <c r="O172" s="59"/>
      <c r="P172" s="59"/>
      <c r="Q172" s="17"/>
      <c r="R172" s="23"/>
      <c r="S172" s="53"/>
      <c r="T172" s="14"/>
      <c r="U172" s="17"/>
      <c r="V172" s="23"/>
      <c r="W172" s="53"/>
      <c r="X172" s="14"/>
      <c r="Y172" s="17"/>
      <c r="Z172" s="23"/>
      <c r="AA172" s="53"/>
      <c r="AB172" s="14"/>
      <c r="AC172" s="17"/>
      <c r="AD172" s="23"/>
      <c r="AE172" s="53"/>
      <c r="AF172" s="14"/>
      <c r="AG172" s="240"/>
      <c r="AH172" s="240"/>
      <c r="AI172" s="240"/>
      <c r="AJ172" s="240"/>
      <c r="AK172" s="232">
        <v>95</v>
      </c>
      <c r="AL172" s="23">
        <v>0</v>
      </c>
      <c r="AM172" s="238">
        <v>54018</v>
      </c>
      <c r="AN172" s="229">
        <v>712500</v>
      </c>
      <c r="AO172" s="239">
        <v>99</v>
      </c>
      <c r="AP172" s="23">
        <v>0</v>
      </c>
      <c r="AQ172" s="241">
        <v>56420</v>
      </c>
      <c r="AR172" s="229">
        <v>742500</v>
      </c>
      <c r="AS172" s="239">
        <v>98</v>
      </c>
      <c r="AT172" s="23">
        <v>0</v>
      </c>
      <c r="AU172" s="241">
        <v>60060</v>
      </c>
      <c r="AV172" s="229">
        <v>735000</v>
      </c>
      <c r="AW172" s="250"/>
    </row>
    <row r="173" spans="1:49" s="56" customFormat="1" x14ac:dyDescent="0.3">
      <c r="B173" s="225">
        <v>44623</v>
      </c>
      <c r="C173" s="208" t="s">
        <v>367</v>
      </c>
      <c r="D173" s="57" t="s">
        <v>116</v>
      </c>
      <c r="E173" s="57" t="s">
        <v>68</v>
      </c>
      <c r="F173" s="57" t="s">
        <v>53</v>
      </c>
      <c r="G173" s="14">
        <v>2395000</v>
      </c>
      <c r="H173" s="48">
        <v>10</v>
      </c>
      <c r="I173" s="47">
        <v>245267</v>
      </c>
      <c r="J173" s="49">
        <v>1499240</v>
      </c>
      <c r="K173" s="50">
        <v>8</v>
      </c>
      <c r="L173" s="50">
        <v>19</v>
      </c>
      <c r="M173" s="23"/>
      <c r="N173" s="23"/>
      <c r="O173" s="59"/>
      <c r="P173" s="59"/>
      <c r="Q173" s="17"/>
      <c r="R173" s="23"/>
      <c r="S173" s="53"/>
      <c r="T173" s="14"/>
      <c r="U173" s="17"/>
      <c r="V173" s="23"/>
      <c r="W173" s="53"/>
      <c r="X173" s="14"/>
      <c r="Y173" s="17"/>
      <c r="Z173" s="23"/>
      <c r="AA173" s="53"/>
      <c r="AB173" s="14"/>
      <c r="AC173" s="17"/>
      <c r="AD173" s="23"/>
      <c r="AE173" s="53"/>
      <c r="AF173" s="14"/>
      <c r="AG173" s="232"/>
      <c r="AH173" s="23"/>
      <c r="AI173" s="238"/>
      <c r="AJ173" s="229"/>
      <c r="AK173" s="239">
        <v>51</v>
      </c>
      <c r="AL173" s="23">
        <v>0</v>
      </c>
      <c r="AM173" s="241">
        <v>24960</v>
      </c>
      <c r="AN173" s="229">
        <v>241781</v>
      </c>
      <c r="AO173" s="239"/>
      <c r="AP173" s="23"/>
      <c r="AQ173" s="241"/>
      <c r="AR173" s="229"/>
      <c r="AS173" s="239"/>
      <c r="AT173" s="23"/>
      <c r="AU173" s="241"/>
      <c r="AV173" s="229"/>
      <c r="AW173" s="250"/>
    </row>
    <row r="174" spans="1:49" s="56" customFormat="1" ht="31.2" x14ac:dyDescent="0.3">
      <c r="B174" s="225">
        <v>41647</v>
      </c>
      <c r="C174" s="208" t="s">
        <v>386</v>
      </c>
      <c r="D174" s="57" t="s">
        <v>387</v>
      </c>
      <c r="E174" s="57" t="s">
        <v>388</v>
      </c>
      <c r="F174" s="57" t="s">
        <v>53</v>
      </c>
      <c r="G174" s="14">
        <v>10254300</v>
      </c>
      <c r="H174" s="48">
        <v>10</v>
      </c>
      <c r="I174" s="248">
        <f>4992860+7609000</f>
        <v>12601860</v>
      </c>
      <c r="J174" s="251">
        <v>44854617</v>
      </c>
      <c r="K174" s="221">
        <v>10</v>
      </c>
      <c r="L174" s="221">
        <v>25</v>
      </c>
      <c r="M174" s="23"/>
      <c r="N174" s="23"/>
      <c r="O174" s="59"/>
      <c r="P174" s="59"/>
      <c r="Q174" s="17"/>
      <c r="R174" s="23"/>
      <c r="S174" s="53"/>
      <c r="T174" s="14"/>
      <c r="U174" s="17"/>
      <c r="V174" s="23"/>
      <c r="W174" s="53"/>
      <c r="X174" s="14"/>
      <c r="Y174" s="17"/>
      <c r="Z174" s="23"/>
      <c r="AA174" s="53"/>
      <c r="AB174" s="14"/>
      <c r="AC174" s="17"/>
      <c r="AD174" s="23"/>
      <c r="AE174" s="53"/>
      <c r="AF174" s="14"/>
      <c r="AG174" s="232"/>
      <c r="AH174" s="23"/>
      <c r="AI174" s="238"/>
      <c r="AJ174" s="229"/>
      <c r="AK174" s="239">
        <v>9</v>
      </c>
      <c r="AL174" s="23">
        <v>460</v>
      </c>
      <c r="AM174" s="241">
        <v>87160</v>
      </c>
      <c r="AN174" s="229">
        <v>973757</v>
      </c>
      <c r="AO174" s="239">
        <v>10</v>
      </c>
      <c r="AP174" s="23">
        <v>464</v>
      </c>
      <c r="AQ174" s="241">
        <v>90279</v>
      </c>
      <c r="AR174" s="229">
        <v>1006404</v>
      </c>
      <c r="AS174" s="239">
        <v>7</v>
      </c>
      <c r="AT174" s="23">
        <v>464</v>
      </c>
      <c r="AU174" s="241">
        <v>86872</v>
      </c>
      <c r="AV174" s="229">
        <v>1017567</v>
      </c>
      <c r="AW174" s="250"/>
    </row>
    <row r="175" spans="1:49" s="56" customFormat="1" ht="31.2" x14ac:dyDescent="0.3">
      <c r="B175" s="225">
        <v>42019</v>
      </c>
      <c r="C175" s="208" t="s">
        <v>393</v>
      </c>
      <c r="D175" s="57" t="s">
        <v>40</v>
      </c>
      <c r="E175" s="57" t="s">
        <v>27</v>
      </c>
      <c r="F175" s="57" t="s">
        <v>53</v>
      </c>
      <c r="G175" s="14">
        <v>3390000</v>
      </c>
      <c r="H175" s="48">
        <v>10</v>
      </c>
      <c r="I175" s="248">
        <v>2002760</v>
      </c>
      <c r="J175" s="251">
        <v>5850057</v>
      </c>
      <c r="K175" s="221">
        <v>35</v>
      </c>
      <c r="L175" s="221">
        <v>50</v>
      </c>
      <c r="M175" s="23"/>
      <c r="N175" s="23"/>
      <c r="O175" s="59"/>
      <c r="P175" s="59"/>
      <c r="Q175" s="17"/>
      <c r="R175" s="23"/>
      <c r="S175" s="53"/>
      <c r="T175" s="14"/>
      <c r="U175" s="17"/>
      <c r="V175" s="23"/>
      <c r="W175" s="53"/>
      <c r="X175" s="14"/>
      <c r="Y175" s="17"/>
      <c r="Z175" s="23"/>
      <c r="AA175" s="53"/>
      <c r="AB175" s="14"/>
      <c r="AC175" s="17"/>
      <c r="AD175" s="23"/>
      <c r="AE175" s="53"/>
      <c r="AF175" s="14"/>
      <c r="AG175" s="232"/>
      <c r="AH175" s="23"/>
      <c r="AI175" s="238"/>
      <c r="AJ175" s="229"/>
      <c r="AK175" s="239">
        <v>76</v>
      </c>
      <c r="AL175" s="23">
        <v>128</v>
      </c>
      <c r="AM175" s="241">
        <v>134236</v>
      </c>
      <c r="AN175" s="229">
        <v>339000</v>
      </c>
      <c r="AO175" s="239">
        <v>79</v>
      </c>
      <c r="AP175" s="23">
        <v>128</v>
      </c>
      <c r="AQ175" s="241">
        <v>127355</v>
      </c>
      <c r="AR175" s="241">
        <v>339000</v>
      </c>
      <c r="AS175" s="239"/>
      <c r="AT175" s="23"/>
      <c r="AU175" s="241"/>
      <c r="AV175" s="241"/>
      <c r="AW175" s="250"/>
    </row>
    <row r="176" spans="1:49" s="224" customFormat="1" x14ac:dyDescent="0.3">
      <c r="A176" s="56"/>
      <c r="B176" s="225">
        <v>43369</v>
      </c>
      <c r="C176" s="208" t="s">
        <v>394</v>
      </c>
      <c r="D176" s="57" t="s">
        <v>395</v>
      </c>
      <c r="E176" s="57" t="s">
        <v>36</v>
      </c>
      <c r="F176" s="57" t="s">
        <v>53</v>
      </c>
      <c r="G176" s="14">
        <v>880230</v>
      </c>
      <c r="H176" s="48">
        <v>10</v>
      </c>
      <c r="I176" s="248">
        <v>1086934</v>
      </c>
      <c r="J176" s="49">
        <v>1168446.54</v>
      </c>
      <c r="K176" s="221">
        <v>8</v>
      </c>
      <c r="L176" s="221">
        <v>19</v>
      </c>
      <c r="M176" s="23"/>
      <c r="N176" s="23"/>
      <c r="O176" s="59"/>
      <c r="P176" s="59"/>
      <c r="Q176" s="17"/>
      <c r="R176" s="23"/>
      <c r="S176" s="53"/>
      <c r="T176" s="14"/>
      <c r="U176" s="17"/>
      <c r="V176" s="23"/>
      <c r="W176" s="53"/>
      <c r="X176" s="14"/>
      <c r="Y176" s="17"/>
      <c r="Z176" s="23"/>
      <c r="AA176" s="53"/>
      <c r="AB176" s="14"/>
      <c r="AC176" s="17"/>
      <c r="AD176" s="23"/>
      <c r="AE176" s="53"/>
      <c r="AF176" s="14"/>
      <c r="AG176" s="232"/>
      <c r="AH176" s="23"/>
      <c r="AI176" s="238"/>
      <c r="AJ176" s="229"/>
      <c r="AK176" s="239">
        <v>0</v>
      </c>
      <c r="AL176" s="23">
        <v>61</v>
      </c>
      <c r="AM176" s="241">
        <v>44688</v>
      </c>
      <c r="AN176" s="229">
        <v>88023</v>
      </c>
      <c r="AO176" s="239">
        <v>11</v>
      </c>
      <c r="AP176" s="23">
        <v>61</v>
      </c>
      <c r="AQ176" s="241">
        <v>48074</v>
      </c>
      <c r="AR176" s="241">
        <v>88023</v>
      </c>
      <c r="AS176" s="239"/>
      <c r="AT176" s="23"/>
      <c r="AU176" s="241"/>
      <c r="AV176" s="241"/>
      <c r="AW176" s="268"/>
    </row>
    <row r="177" spans="1:50" s="224" customFormat="1" x14ac:dyDescent="0.3">
      <c r="B177" s="225">
        <v>44618</v>
      </c>
      <c r="C177" s="233" t="s">
        <v>405</v>
      </c>
      <c r="D177" s="226" t="s">
        <v>381</v>
      </c>
      <c r="E177" s="226" t="s">
        <v>113</v>
      </c>
      <c r="F177" s="226" t="s">
        <v>53</v>
      </c>
      <c r="G177" s="229">
        <v>2515500</v>
      </c>
      <c r="H177" s="271">
        <v>10</v>
      </c>
      <c r="I177" s="248">
        <v>10200720</v>
      </c>
      <c r="J177" s="251">
        <v>29429869</v>
      </c>
      <c r="K177" s="221">
        <v>35</v>
      </c>
      <c r="L177" s="221">
        <v>50</v>
      </c>
      <c r="M177" s="23"/>
      <c r="N177" s="23"/>
      <c r="O177" s="59"/>
      <c r="P177" s="59"/>
      <c r="Q177" s="232"/>
      <c r="R177" s="23"/>
      <c r="S177" s="241"/>
      <c r="T177" s="229"/>
      <c r="U177" s="232"/>
      <c r="V177" s="23"/>
      <c r="W177" s="241"/>
      <c r="X177" s="229"/>
      <c r="Y177" s="232"/>
      <c r="Z177" s="23"/>
      <c r="AA177" s="241"/>
      <c r="AB177" s="229"/>
      <c r="AC177" s="232"/>
      <c r="AD177" s="23"/>
      <c r="AE177" s="241"/>
      <c r="AF177" s="229"/>
      <c r="AG177" s="232"/>
      <c r="AH177" s="23"/>
      <c r="AI177" s="238"/>
      <c r="AJ177" s="229"/>
      <c r="AK177" s="239"/>
      <c r="AL177" s="23"/>
      <c r="AM177" s="241"/>
      <c r="AN177" s="229"/>
      <c r="AO177" s="239">
        <v>76</v>
      </c>
      <c r="AP177" s="23">
        <v>518</v>
      </c>
      <c r="AQ177" s="241">
        <v>112000</v>
      </c>
      <c r="AR177" s="241">
        <v>2093750</v>
      </c>
      <c r="AS177" s="239"/>
      <c r="AT177" s="23"/>
      <c r="AU177" s="241"/>
      <c r="AV177" s="241"/>
      <c r="AW177" s="268"/>
    </row>
    <row r="178" spans="1:50" s="224" customFormat="1" x14ac:dyDescent="0.3">
      <c r="A178" s="56"/>
      <c r="B178" s="225">
        <v>45531</v>
      </c>
      <c r="C178" s="208" t="s">
        <v>392</v>
      </c>
      <c r="D178" s="57" t="s">
        <v>61</v>
      </c>
      <c r="E178" s="57" t="s">
        <v>62</v>
      </c>
      <c r="F178" s="57" t="s">
        <v>53</v>
      </c>
      <c r="G178" s="14">
        <v>12810000</v>
      </c>
      <c r="H178" s="48">
        <v>10</v>
      </c>
      <c r="I178" s="248">
        <v>3600000</v>
      </c>
      <c r="J178" s="251">
        <v>26431074</v>
      </c>
      <c r="K178" s="221">
        <v>25</v>
      </c>
      <c r="L178" s="221">
        <v>35</v>
      </c>
      <c r="M178" s="23"/>
      <c r="N178" s="23"/>
      <c r="O178" s="59"/>
      <c r="P178" s="59"/>
      <c r="Q178" s="17"/>
      <c r="R178" s="23"/>
      <c r="S178" s="53"/>
      <c r="T178" s="14"/>
      <c r="U178" s="17"/>
      <c r="V178" s="23"/>
      <c r="W178" s="53"/>
      <c r="X178" s="14"/>
      <c r="Y178" s="17"/>
      <c r="Z178" s="23"/>
      <c r="AA178" s="53"/>
      <c r="AB178" s="14"/>
      <c r="AC178" s="17"/>
      <c r="AD178" s="23"/>
      <c r="AE178" s="53"/>
      <c r="AF178" s="14"/>
      <c r="AG178" s="232"/>
      <c r="AH178" s="23"/>
      <c r="AI178" s="238"/>
      <c r="AJ178" s="229"/>
      <c r="AK178" s="239"/>
      <c r="AL178" s="23"/>
      <c r="AM178" s="241"/>
      <c r="AN178" s="241"/>
      <c r="AO178" s="239">
        <v>150</v>
      </c>
      <c r="AP178" s="23">
        <v>66</v>
      </c>
      <c r="AQ178" s="241">
        <v>208228</v>
      </c>
      <c r="AR178" s="229">
        <v>1281000</v>
      </c>
      <c r="AS178" s="239">
        <v>175</v>
      </c>
      <c r="AT178" s="23">
        <v>66</v>
      </c>
      <c r="AU178" s="241">
        <v>227284</v>
      </c>
      <c r="AV178" s="241">
        <v>1281000</v>
      </c>
      <c r="AW178" s="268"/>
    </row>
    <row r="179" spans="1:50" s="224" customFormat="1" x14ac:dyDescent="0.3">
      <c r="A179" s="56"/>
      <c r="B179" s="225">
        <v>44849</v>
      </c>
      <c r="C179" s="208" t="s">
        <v>390</v>
      </c>
      <c r="D179" s="57" t="s">
        <v>36</v>
      </c>
      <c r="E179" s="57" t="s">
        <v>36</v>
      </c>
      <c r="F179" s="57" t="s">
        <v>53</v>
      </c>
      <c r="G179" s="14">
        <v>5300000</v>
      </c>
      <c r="H179" s="48">
        <v>10</v>
      </c>
      <c r="I179" s="248">
        <v>1481827</v>
      </c>
      <c r="J179" s="251">
        <v>5000000</v>
      </c>
      <c r="K179" s="221">
        <v>8</v>
      </c>
      <c r="L179" s="221">
        <v>19</v>
      </c>
      <c r="M179" s="23"/>
      <c r="N179" s="23"/>
      <c r="O179" s="59"/>
      <c r="P179" s="59"/>
      <c r="Q179" s="17"/>
      <c r="R179" s="23"/>
      <c r="S179" s="53"/>
      <c r="T179" s="14"/>
      <c r="U179" s="17"/>
      <c r="V179" s="23"/>
      <c r="W179" s="53"/>
      <c r="X179" s="14"/>
      <c r="Y179" s="17"/>
      <c r="Z179" s="23"/>
      <c r="AA179" s="53"/>
      <c r="AB179" s="14"/>
      <c r="AC179" s="17"/>
      <c r="AD179" s="23"/>
      <c r="AE179" s="53"/>
      <c r="AF179" s="14"/>
      <c r="AG179" s="232"/>
      <c r="AH179" s="23"/>
      <c r="AI179" s="238"/>
      <c r="AJ179" s="229"/>
      <c r="AK179" s="239"/>
      <c r="AL179" s="23"/>
      <c r="AM179" s="241"/>
      <c r="AN179" s="241"/>
      <c r="AO179" s="239">
        <v>9</v>
      </c>
      <c r="AP179" s="23">
        <v>32</v>
      </c>
      <c r="AQ179" s="241">
        <v>63876</v>
      </c>
      <c r="AR179" s="229">
        <v>530000</v>
      </c>
      <c r="AS179" s="239">
        <v>7</v>
      </c>
      <c r="AT179" s="23">
        <v>32</v>
      </c>
      <c r="AU179" s="241">
        <v>52459</v>
      </c>
      <c r="AV179" s="229">
        <v>516750</v>
      </c>
      <c r="AW179" s="268"/>
    </row>
    <row r="180" spans="1:50" s="224" customFormat="1" x14ac:dyDescent="0.3">
      <c r="A180" s="56"/>
      <c r="B180" s="225">
        <v>45236</v>
      </c>
      <c r="C180" s="208" t="s">
        <v>391</v>
      </c>
      <c r="D180" s="57" t="s">
        <v>389</v>
      </c>
      <c r="E180" s="57" t="s">
        <v>45</v>
      </c>
      <c r="F180" s="57" t="s">
        <v>53</v>
      </c>
      <c r="G180" s="14">
        <v>8250000</v>
      </c>
      <c r="H180" s="48">
        <v>10</v>
      </c>
      <c r="I180" s="248">
        <v>2600000</v>
      </c>
      <c r="J180" s="251">
        <v>10175866</v>
      </c>
      <c r="K180" s="221">
        <v>10</v>
      </c>
      <c r="L180" s="221">
        <v>25</v>
      </c>
      <c r="M180" s="23"/>
      <c r="N180" s="23"/>
      <c r="O180" s="59"/>
      <c r="P180" s="59"/>
      <c r="Q180" s="17"/>
      <c r="R180" s="23"/>
      <c r="S180" s="53"/>
      <c r="T180" s="14"/>
      <c r="U180" s="17"/>
      <c r="V180" s="23"/>
      <c r="W180" s="53"/>
      <c r="X180" s="14"/>
      <c r="Y180" s="17"/>
      <c r="Z180" s="23"/>
      <c r="AA180" s="53"/>
      <c r="AB180" s="14"/>
      <c r="AC180" s="17"/>
      <c r="AD180" s="23"/>
      <c r="AE180" s="53"/>
      <c r="AF180" s="14"/>
      <c r="AG180" s="232"/>
      <c r="AH180" s="23"/>
      <c r="AI180" s="238"/>
      <c r="AJ180" s="229"/>
      <c r="AK180" s="239"/>
      <c r="AL180" s="23"/>
      <c r="AM180" s="241"/>
      <c r="AN180" s="241"/>
      <c r="AO180" s="239">
        <v>110</v>
      </c>
      <c r="AP180" s="23">
        <v>0</v>
      </c>
      <c r="AQ180" s="241">
        <v>33280</v>
      </c>
      <c r="AR180" s="229">
        <v>825000</v>
      </c>
      <c r="AS180" s="239">
        <v>98</v>
      </c>
      <c r="AT180" s="23">
        <v>0</v>
      </c>
      <c r="AU180" s="241">
        <v>39620</v>
      </c>
      <c r="AV180" s="229">
        <v>735000</v>
      </c>
      <c r="AW180" s="268"/>
    </row>
    <row r="181" spans="1:50" s="224" customFormat="1" x14ac:dyDescent="0.3">
      <c r="A181" s="56"/>
      <c r="B181" s="225">
        <v>44573</v>
      </c>
      <c r="C181" s="208" t="s">
        <v>370</v>
      </c>
      <c r="D181" s="57" t="s">
        <v>84</v>
      </c>
      <c r="E181" s="57" t="s">
        <v>68</v>
      </c>
      <c r="F181" s="57" t="s">
        <v>53</v>
      </c>
      <c r="G181" s="14">
        <v>39757500</v>
      </c>
      <c r="H181" s="48">
        <v>10</v>
      </c>
      <c r="I181" s="248">
        <v>30000000</v>
      </c>
      <c r="J181" s="251">
        <v>205529037</v>
      </c>
      <c r="K181" s="221">
        <v>25</v>
      </c>
      <c r="L181" s="221">
        <v>35</v>
      </c>
      <c r="M181" s="23"/>
      <c r="N181" s="23"/>
      <c r="O181" s="59"/>
      <c r="P181" s="59"/>
      <c r="Q181" s="17"/>
      <c r="R181" s="23"/>
      <c r="S181" s="53"/>
      <c r="T181" s="14"/>
      <c r="U181" s="17"/>
      <c r="V181" s="23"/>
      <c r="W181" s="53"/>
      <c r="X181" s="14"/>
      <c r="Y181" s="17"/>
      <c r="Z181" s="23"/>
      <c r="AA181" s="53"/>
      <c r="AB181" s="14"/>
      <c r="AC181" s="17"/>
      <c r="AD181" s="23"/>
      <c r="AE181" s="53"/>
      <c r="AF181" s="14"/>
      <c r="AG181" s="232"/>
      <c r="AH181" s="23"/>
      <c r="AI181" s="238"/>
      <c r="AJ181" s="229"/>
      <c r="AK181" s="239"/>
      <c r="AL181" s="23"/>
      <c r="AM181" s="241"/>
      <c r="AN181" s="229"/>
      <c r="AO181" s="239">
        <v>240</v>
      </c>
      <c r="AP181" s="23">
        <v>754</v>
      </c>
      <c r="AQ181" s="241">
        <v>69316</v>
      </c>
      <c r="AR181" s="229">
        <v>3975750</v>
      </c>
      <c r="AS181" s="239"/>
      <c r="AT181" s="23"/>
      <c r="AU181" s="241"/>
      <c r="AV181" s="229"/>
      <c r="AW181" s="268"/>
    </row>
    <row r="182" spans="1:50" s="224" customFormat="1" x14ac:dyDescent="0.3">
      <c r="B182" s="225">
        <v>45105</v>
      </c>
      <c r="C182" s="233" t="s">
        <v>406</v>
      </c>
      <c r="D182" s="226" t="s">
        <v>64</v>
      </c>
      <c r="E182" s="226" t="s">
        <v>22</v>
      </c>
      <c r="F182" s="226" t="s">
        <v>53</v>
      </c>
      <c r="G182" s="229">
        <v>10050000</v>
      </c>
      <c r="H182" s="271">
        <v>10</v>
      </c>
      <c r="I182" s="248">
        <v>1257500</v>
      </c>
      <c r="J182" s="251">
        <v>4942059</v>
      </c>
      <c r="K182" s="221">
        <v>10</v>
      </c>
      <c r="L182" s="221">
        <v>25</v>
      </c>
      <c r="M182" s="23"/>
      <c r="N182" s="23"/>
      <c r="O182" s="59"/>
      <c r="P182" s="59"/>
      <c r="Q182" s="232"/>
      <c r="R182" s="23"/>
      <c r="S182" s="241"/>
      <c r="T182" s="229"/>
      <c r="U182" s="232"/>
      <c r="V182" s="23"/>
      <c r="W182" s="241"/>
      <c r="X182" s="229"/>
      <c r="Y182" s="232"/>
      <c r="Z182" s="23"/>
      <c r="AA182" s="241"/>
      <c r="AB182" s="229"/>
      <c r="AC182" s="232"/>
      <c r="AD182" s="23"/>
      <c r="AE182" s="241"/>
      <c r="AF182" s="229"/>
      <c r="AG182" s="232"/>
      <c r="AH182" s="23"/>
      <c r="AI182" s="238"/>
      <c r="AJ182" s="229"/>
      <c r="AK182" s="239"/>
      <c r="AL182" s="23"/>
      <c r="AM182" s="241"/>
      <c r="AN182" s="229"/>
      <c r="AO182" s="239">
        <v>118</v>
      </c>
      <c r="AP182" s="23">
        <v>0</v>
      </c>
      <c r="AQ182" s="241">
        <v>50287</v>
      </c>
      <c r="AR182" s="229">
        <v>885000</v>
      </c>
      <c r="AS182" s="239">
        <v>142</v>
      </c>
      <c r="AT182" s="23">
        <v>0</v>
      </c>
      <c r="AU182" s="241">
        <v>55701</v>
      </c>
      <c r="AV182" s="229">
        <v>1005000</v>
      </c>
      <c r="AW182" s="268"/>
    </row>
    <row r="183" spans="1:50" s="28" customFormat="1" x14ac:dyDescent="0.3">
      <c r="B183" s="258"/>
      <c r="C183" s="29" t="str">
        <f>CONCATENATE(COUNTA(C28:C182) &amp; " Projects")</f>
        <v>155 Projects</v>
      </c>
      <c r="D183" s="30"/>
      <c r="E183" s="30"/>
      <c r="F183" s="31"/>
      <c r="G183" s="32">
        <f>SUM(G28:G182)</f>
        <v>3411681644</v>
      </c>
      <c r="H183" s="33"/>
      <c r="I183" s="32">
        <f t="shared" ref="I183:N183" si="1">SUM(I28:I182)</f>
        <v>702096857</v>
      </c>
      <c r="J183" s="32">
        <f t="shared" si="1"/>
        <v>3233604713.6199999</v>
      </c>
      <c r="K183" s="34">
        <f t="shared" si="1"/>
        <v>3237</v>
      </c>
      <c r="L183" s="34">
        <f t="shared" si="1"/>
        <v>5045</v>
      </c>
      <c r="M183" s="34">
        <f t="shared" si="1"/>
        <v>21</v>
      </c>
      <c r="N183" s="34">
        <f t="shared" si="1"/>
        <v>50</v>
      </c>
      <c r="O183" s="32"/>
      <c r="P183" s="32">
        <f>SUM(P28:P182)</f>
        <v>603500</v>
      </c>
      <c r="Q183" s="34">
        <f>SUM(Q28:Q182)</f>
        <v>1032</v>
      </c>
      <c r="R183" s="34">
        <f>SUM(R28:R182)</f>
        <v>733</v>
      </c>
      <c r="S183" s="32"/>
      <c r="T183" s="32">
        <f>SUM(T28:T182)</f>
        <v>12366750</v>
      </c>
      <c r="U183" s="34">
        <f>SUM(U28:U182)</f>
        <v>5374</v>
      </c>
      <c r="V183" s="34">
        <f>SUM(V28:V182)</f>
        <v>5763</v>
      </c>
      <c r="W183" s="32"/>
      <c r="X183" s="32">
        <f>SUM(X28:X182)</f>
        <v>68936174.980000004</v>
      </c>
      <c r="Y183" s="34">
        <f>SUM(Y28:Y182)</f>
        <v>10902</v>
      </c>
      <c r="Z183" s="34">
        <f>SUM(Z28:Z182)</f>
        <v>8375</v>
      </c>
      <c r="AA183" s="32"/>
      <c r="AB183" s="32">
        <f>SUM(AB28:AB182)</f>
        <v>158879409.13999999</v>
      </c>
      <c r="AC183" s="34">
        <f>SUM(AC28:AC182)</f>
        <v>12758</v>
      </c>
      <c r="AD183" s="34">
        <f>SUM(AD28:AD182)</f>
        <v>12420</v>
      </c>
      <c r="AE183" s="32"/>
      <c r="AF183" s="32">
        <f>SUM(AF28:AF182)</f>
        <v>201572145</v>
      </c>
      <c r="AG183" s="34">
        <f>SUM(AG28:AG182)</f>
        <v>15647</v>
      </c>
      <c r="AH183" s="34">
        <f>SUM(AH28:AH182)</f>
        <v>15637</v>
      </c>
      <c r="AI183" s="32"/>
      <c r="AJ183" s="32">
        <f>SUM(AJ28:AJ182)</f>
        <v>259223362</v>
      </c>
      <c r="AK183" s="34">
        <f>SUM(AK28:AK182)</f>
        <v>13592</v>
      </c>
      <c r="AL183" s="34">
        <f>SUM(AL28:AL182)</f>
        <v>16996</v>
      </c>
      <c r="AM183" s="32"/>
      <c r="AN183" s="32">
        <f>SUM(AN28:AN182)</f>
        <v>274462358</v>
      </c>
      <c r="AO183" s="34">
        <f>SUM(AO28:AO182)</f>
        <v>11404</v>
      </c>
      <c r="AP183" s="34">
        <f>SUM(AP28:AP182)</f>
        <v>13676</v>
      </c>
      <c r="AQ183" s="32"/>
      <c r="AR183" s="32">
        <f>SUM(AR28:AR182)</f>
        <v>241525322</v>
      </c>
      <c r="AS183" s="34">
        <f>SUM(AS28:AS182)</f>
        <v>7521</v>
      </c>
      <c r="AT183" s="34">
        <f>SUM(AT28:AT182)</f>
        <v>6198</v>
      </c>
      <c r="AU183" s="32"/>
      <c r="AV183" s="32">
        <f>SUM(AV28:AV182)</f>
        <v>115690177</v>
      </c>
      <c r="AW183" s="152"/>
    </row>
    <row r="184" spans="1:50" s="28" customFormat="1" ht="81.75" customHeight="1" x14ac:dyDescent="0.3">
      <c r="B184" s="258"/>
      <c r="C184" s="216"/>
      <c r="D184" s="36"/>
      <c r="E184" s="36"/>
      <c r="F184" s="35"/>
      <c r="G184" s="37"/>
      <c r="H184" s="36"/>
      <c r="I184" s="37"/>
      <c r="J184" s="37"/>
      <c r="K184" s="37"/>
      <c r="L184" s="38"/>
      <c r="M184" s="38"/>
      <c r="N184" s="38"/>
      <c r="O184" s="37"/>
      <c r="P184" s="38"/>
      <c r="Q184" s="38"/>
      <c r="R184" s="37"/>
      <c r="S184" s="37"/>
      <c r="V184" s="35"/>
      <c r="X184" s="152"/>
      <c r="AC184" s="168"/>
      <c r="AD184" s="152"/>
      <c r="AF184" s="234"/>
      <c r="AG184" s="235"/>
      <c r="AH184" s="235"/>
      <c r="AI184" s="236"/>
      <c r="AJ184" s="234"/>
      <c r="AK184" s="236"/>
      <c r="AL184" s="236"/>
      <c r="AM184" s="236"/>
      <c r="AN184" s="234"/>
      <c r="AR184" s="234"/>
      <c r="AU184" s="40" t="s">
        <v>227</v>
      </c>
      <c r="AV184" s="188">
        <f>SUM(P183,T183,X183,AB183, AF183,AJ183, AN183, AR183,AV183)</f>
        <v>1333259198.1199999</v>
      </c>
      <c r="AW184" s="252"/>
      <c r="AX184" s="252"/>
    </row>
    <row r="185" spans="1:50" s="28" customFormat="1" ht="16.2" thickBot="1" x14ac:dyDescent="0.35">
      <c r="B185" s="258"/>
      <c r="C185" s="216"/>
      <c r="D185" s="36"/>
      <c r="E185" s="36"/>
      <c r="F185" s="35"/>
      <c r="G185" s="37"/>
      <c r="H185" s="36"/>
      <c r="I185" s="36"/>
      <c r="J185" s="36"/>
      <c r="K185" s="37"/>
      <c r="L185" s="37"/>
      <c r="M185" s="37"/>
      <c r="N185" s="38"/>
      <c r="O185" s="38"/>
      <c r="P185" s="37"/>
      <c r="Q185" s="38"/>
      <c r="R185" s="38"/>
      <c r="S185" s="37"/>
      <c r="T185" s="38"/>
      <c r="U185" s="38"/>
      <c r="V185" s="37"/>
      <c r="W185" s="42"/>
      <c r="X185" s="43"/>
      <c r="Y185" s="43"/>
      <c r="Z185" s="42"/>
      <c r="AJ185" s="153"/>
      <c r="AT185" s="152"/>
    </row>
    <row r="186" spans="1:50" ht="16.95" customHeight="1" thickBot="1" x14ac:dyDescent="0.35">
      <c r="C186" s="284" t="s">
        <v>228</v>
      </c>
      <c r="D186" s="285"/>
      <c r="E186" s="285"/>
      <c r="F186" s="285"/>
      <c r="G186" s="285"/>
      <c r="H186" s="285"/>
      <c r="I186" s="285"/>
      <c r="J186" s="274">
        <v>2011</v>
      </c>
      <c r="K186" s="275"/>
      <c r="L186" s="276"/>
      <c r="M186" s="274">
        <v>2012</v>
      </c>
      <c r="N186" s="275"/>
      <c r="O186" s="276"/>
      <c r="P186" s="274">
        <v>2013</v>
      </c>
      <c r="Q186" s="275"/>
      <c r="R186" s="276"/>
      <c r="S186" s="274">
        <v>2014</v>
      </c>
      <c r="T186" s="275"/>
      <c r="U186" s="276"/>
      <c r="V186" s="274">
        <v>2015</v>
      </c>
      <c r="W186" s="275"/>
      <c r="X186" s="276"/>
      <c r="Y186" s="281">
        <v>2016</v>
      </c>
      <c r="Z186" s="282"/>
      <c r="AA186" s="283"/>
      <c r="AB186" s="284">
        <v>2017</v>
      </c>
      <c r="AC186" s="285"/>
      <c r="AD186" s="286"/>
      <c r="AE186" s="284">
        <v>2018</v>
      </c>
      <c r="AF186" s="285"/>
      <c r="AG186" s="286"/>
      <c r="AH186" s="284">
        <v>2019</v>
      </c>
      <c r="AI186" s="285"/>
      <c r="AJ186" s="286"/>
      <c r="AK186" s="284">
        <v>2020</v>
      </c>
      <c r="AL186" s="285"/>
      <c r="AM186" s="286"/>
      <c r="AN186" s="284">
        <v>2021</v>
      </c>
      <c r="AO186" s="285"/>
      <c r="AP186" s="286"/>
      <c r="AQ186" s="284">
        <v>2022</v>
      </c>
      <c r="AR186" s="285"/>
      <c r="AS186" s="286"/>
    </row>
    <row r="187" spans="1:50" s="8" customFormat="1" ht="49.5" customHeight="1" x14ac:dyDescent="0.3">
      <c r="B187" s="256"/>
      <c r="C187" s="210" t="s">
        <v>1</v>
      </c>
      <c r="D187" s="211" t="s">
        <v>2</v>
      </c>
      <c r="E187" s="211" t="s">
        <v>3</v>
      </c>
      <c r="F187" s="211" t="s">
        <v>4</v>
      </c>
      <c r="G187" s="211" t="s">
        <v>5</v>
      </c>
      <c r="H187" s="61" t="s">
        <v>6</v>
      </c>
      <c r="I187" s="62" t="s">
        <v>8</v>
      </c>
      <c r="J187" s="272" t="s">
        <v>10</v>
      </c>
      <c r="K187" s="273"/>
      <c r="L187" s="6" t="s">
        <v>11</v>
      </c>
      <c r="M187" s="272" t="s">
        <v>10</v>
      </c>
      <c r="N187" s="273"/>
      <c r="O187" s="6" t="s">
        <v>11</v>
      </c>
      <c r="P187" s="272" t="s">
        <v>10</v>
      </c>
      <c r="Q187" s="273"/>
      <c r="R187" s="6" t="s">
        <v>11</v>
      </c>
      <c r="S187" s="272" t="s">
        <v>10</v>
      </c>
      <c r="T187" s="273"/>
      <c r="U187" s="6" t="s">
        <v>11</v>
      </c>
      <c r="V187" s="272" t="s">
        <v>10</v>
      </c>
      <c r="W187" s="273"/>
      <c r="X187" s="10" t="s">
        <v>11</v>
      </c>
      <c r="Y187" s="279" t="s">
        <v>10</v>
      </c>
      <c r="Z187" s="280"/>
      <c r="AA187" s="10" t="s">
        <v>11</v>
      </c>
      <c r="AB187" s="279" t="s">
        <v>10</v>
      </c>
      <c r="AC187" s="280"/>
      <c r="AD187" s="10" t="s">
        <v>11</v>
      </c>
      <c r="AE187" s="279" t="s">
        <v>10</v>
      </c>
      <c r="AF187" s="280"/>
      <c r="AG187" s="10" t="s">
        <v>11</v>
      </c>
      <c r="AH187" s="279" t="s">
        <v>10</v>
      </c>
      <c r="AI187" s="280"/>
      <c r="AJ187" s="10" t="s">
        <v>11</v>
      </c>
      <c r="AK187" s="279" t="s">
        <v>10</v>
      </c>
      <c r="AL187" s="280"/>
      <c r="AM187" s="10" t="s">
        <v>11</v>
      </c>
      <c r="AN187" s="279" t="s">
        <v>10</v>
      </c>
      <c r="AO187" s="280"/>
      <c r="AP187" s="10" t="s">
        <v>11</v>
      </c>
      <c r="AQ187" s="279" t="s">
        <v>10</v>
      </c>
      <c r="AR187" s="280"/>
      <c r="AS187" s="10" t="s">
        <v>11</v>
      </c>
    </row>
    <row r="188" spans="1:50" s="8" customFormat="1" ht="15" customHeight="1" x14ac:dyDescent="0.3">
      <c r="B188" s="256"/>
      <c r="C188" s="137"/>
      <c r="D188" s="138"/>
      <c r="E188" s="138"/>
      <c r="F188" s="138"/>
      <c r="G188" s="138"/>
      <c r="H188" s="139"/>
      <c r="I188" s="140"/>
      <c r="J188" s="141" t="s">
        <v>229</v>
      </c>
      <c r="K188" s="142" t="s">
        <v>14</v>
      </c>
      <c r="L188" s="6"/>
      <c r="M188" s="141" t="s">
        <v>229</v>
      </c>
      <c r="N188" s="142" t="s">
        <v>14</v>
      </c>
      <c r="O188" s="6"/>
      <c r="P188" s="141" t="s">
        <v>229</v>
      </c>
      <c r="Q188" s="142" t="s">
        <v>14</v>
      </c>
      <c r="R188" s="6"/>
      <c r="S188" s="141" t="s">
        <v>229</v>
      </c>
      <c r="T188" s="142" t="s">
        <v>14</v>
      </c>
      <c r="U188" s="6"/>
      <c r="V188" s="141" t="s">
        <v>229</v>
      </c>
      <c r="W188" s="142" t="s">
        <v>14</v>
      </c>
      <c r="X188" s="10"/>
      <c r="Y188" s="141" t="s">
        <v>229</v>
      </c>
      <c r="Z188" s="142" t="s">
        <v>14</v>
      </c>
      <c r="AA188" s="10"/>
      <c r="AB188" s="141" t="s">
        <v>229</v>
      </c>
      <c r="AC188" s="142" t="s">
        <v>14</v>
      </c>
      <c r="AD188" s="10"/>
      <c r="AE188" s="141" t="s">
        <v>229</v>
      </c>
      <c r="AF188" s="142" t="s">
        <v>14</v>
      </c>
      <c r="AG188" s="10"/>
      <c r="AH188" s="141" t="s">
        <v>229</v>
      </c>
      <c r="AI188" s="142" t="s">
        <v>14</v>
      </c>
      <c r="AJ188" s="10"/>
      <c r="AK188" s="141" t="s">
        <v>229</v>
      </c>
      <c r="AL188" s="142" t="s">
        <v>14</v>
      </c>
      <c r="AM188" s="10"/>
      <c r="AN188" s="141" t="s">
        <v>229</v>
      </c>
      <c r="AO188" s="142" t="s">
        <v>14</v>
      </c>
      <c r="AP188" s="10"/>
      <c r="AQ188" s="141" t="s">
        <v>229</v>
      </c>
      <c r="AR188" s="142" t="s">
        <v>14</v>
      </c>
      <c r="AS188" s="10"/>
    </row>
    <row r="189" spans="1:50" s="20" customFormat="1" x14ac:dyDescent="0.3">
      <c r="B189" s="257">
        <v>24605</v>
      </c>
      <c r="C189" s="58" t="s">
        <v>230</v>
      </c>
      <c r="D189" s="46" t="s">
        <v>21</v>
      </c>
      <c r="E189" s="46" t="s">
        <v>22</v>
      </c>
      <c r="F189" s="18" t="s">
        <v>231</v>
      </c>
      <c r="G189" s="47">
        <v>41650000</v>
      </c>
      <c r="H189" s="48">
        <v>10</v>
      </c>
      <c r="I189" s="54">
        <v>86800000</v>
      </c>
      <c r="J189" s="23">
        <v>72</v>
      </c>
      <c r="K189" s="50">
        <v>450</v>
      </c>
      <c r="L189" s="49">
        <v>4165000</v>
      </c>
      <c r="M189" s="23">
        <v>86</v>
      </c>
      <c r="N189" s="50">
        <v>450</v>
      </c>
      <c r="O189" s="49">
        <v>4165000</v>
      </c>
      <c r="P189" s="23">
        <v>86</v>
      </c>
      <c r="Q189" s="50">
        <v>450</v>
      </c>
      <c r="R189" s="49">
        <v>4165000</v>
      </c>
      <c r="S189" s="23">
        <v>61</v>
      </c>
      <c r="T189" s="50">
        <v>450</v>
      </c>
      <c r="U189" s="63">
        <v>4165000</v>
      </c>
      <c r="V189" s="23">
        <v>58</v>
      </c>
      <c r="W189" s="50">
        <v>450</v>
      </c>
      <c r="X189" s="63">
        <v>4165000</v>
      </c>
      <c r="Y189" s="23">
        <v>58</v>
      </c>
      <c r="Z189" s="50">
        <v>450</v>
      </c>
      <c r="AA189" s="63">
        <v>4165000</v>
      </c>
      <c r="AB189" s="23">
        <v>56</v>
      </c>
      <c r="AC189" s="50">
        <v>450</v>
      </c>
      <c r="AD189" s="63">
        <v>4165000</v>
      </c>
      <c r="AE189" s="23"/>
      <c r="AF189" s="50"/>
      <c r="AG189" s="63"/>
      <c r="AH189" s="23"/>
      <c r="AI189" s="50"/>
      <c r="AJ189" s="63"/>
      <c r="AK189" s="23"/>
      <c r="AL189" s="221"/>
      <c r="AM189" s="222"/>
      <c r="AN189" s="23"/>
      <c r="AO189" s="221"/>
      <c r="AP189" s="222"/>
      <c r="AQ189" s="23"/>
      <c r="AR189" s="221"/>
      <c r="AS189" s="222"/>
      <c r="AT189" s="252"/>
      <c r="AW189" s="219"/>
    </row>
    <row r="190" spans="1:50" s="20" customFormat="1" x14ac:dyDescent="0.3">
      <c r="B190" s="257">
        <v>37277</v>
      </c>
      <c r="C190" s="45" t="s">
        <v>232</v>
      </c>
      <c r="D190" s="12" t="s">
        <v>21</v>
      </c>
      <c r="E190" s="12" t="s">
        <v>22</v>
      </c>
      <c r="F190" s="18" t="s">
        <v>231</v>
      </c>
      <c r="G190" s="14">
        <v>81901205</v>
      </c>
      <c r="H190" s="48">
        <v>10</v>
      </c>
      <c r="I190" s="54">
        <v>107033747</v>
      </c>
      <c r="J190" s="23">
        <v>0</v>
      </c>
      <c r="K190" s="23"/>
      <c r="L190" s="23">
        <v>0</v>
      </c>
      <c r="M190" s="23">
        <v>0</v>
      </c>
      <c r="N190" s="23"/>
      <c r="O190" s="23">
        <v>0</v>
      </c>
      <c r="P190" s="23">
        <v>0</v>
      </c>
      <c r="Q190" s="23"/>
      <c r="R190" s="23">
        <v>0</v>
      </c>
      <c r="S190" s="23">
        <v>0</v>
      </c>
      <c r="T190" s="23"/>
      <c r="U190" s="23">
        <v>0</v>
      </c>
      <c r="V190" s="23">
        <v>102</v>
      </c>
      <c r="W190" s="23">
        <v>364</v>
      </c>
      <c r="X190" s="63">
        <v>8035299</v>
      </c>
      <c r="Y190" s="23">
        <v>72</v>
      </c>
      <c r="Z190" s="143">
        <v>313</v>
      </c>
      <c r="AA190" s="63">
        <v>8035299</v>
      </c>
      <c r="AB190" s="23">
        <v>80</v>
      </c>
      <c r="AC190" s="50">
        <v>310</v>
      </c>
      <c r="AD190" s="63">
        <v>8035299</v>
      </c>
      <c r="AE190" s="23">
        <v>24</v>
      </c>
      <c r="AF190" s="50">
        <v>369</v>
      </c>
      <c r="AG190" s="63">
        <v>8035299</v>
      </c>
      <c r="AH190" s="23">
        <v>0</v>
      </c>
      <c r="AI190" s="50">
        <v>368</v>
      </c>
      <c r="AJ190" s="63">
        <v>8035299</v>
      </c>
      <c r="AK190" s="23">
        <v>0</v>
      </c>
      <c r="AL190" s="221">
        <v>358</v>
      </c>
      <c r="AM190" s="222">
        <v>8035299</v>
      </c>
      <c r="AN190" s="23">
        <v>315</v>
      </c>
      <c r="AO190" s="221">
        <v>50</v>
      </c>
      <c r="AP190" s="222">
        <v>8190120</v>
      </c>
      <c r="AQ190" s="23">
        <v>290</v>
      </c>
      <c r="AR190" s="221">
        <v>0</v>
      </c>
      <c r="AS190" s="222">
        <v>8190120</v>
      </c>
      <c r="AT190" s="252"/>
      <c r="AW190" s="219"/>
    </row>
    <row r="191" spans="1:50" s="20" customFormat="1" x14ac:dyDescent="0.3">
      <c r="B191" s="257">
        <v>36843</v>
      </c>
      <c r="C191" s="45" t="s">
        <v>233</v>
      </c>
      <c r="D191" s="46" t="s">
        <v>203</v>
      </c>
      <c r="E191" s="46" t="s">
        <v>45</v>
      </c>
      <c r="F191" s="18" t="s">
        <v>231</v>
      </c>
      <c r="G191" s="47">
        <v>58000000</v>
      </c>
      <c r="H191" s="48">
        <v>10</v>
      </c>
      <c r="I191" s="54">
        <v>60300000</v>
      </c>
      <c r="J191" s="23">
        <v>0</v>
      </c>
      <c r="K191" s="23"/>
      <c r="L191" s="23">
        <v>0</v>
      </c>
      <c r="M191" s="23">
        <v>0</v>
      </c>
      <c r="N191" s="23"/>
      <c r="O191" s="23">
        <v>0</v>
      </c>
      <c r="P191" s="23">
        <v>0</v>
      </c>
      <c r="Q191" s="23"/>
      <c r="R191" s="23">
        <v>0</v>
      </c>
      <c r="S191" s="144">
        <v>6</v>
      </c>
      <c r="T191" s="144">
        <v>264</v>
      </c>
      <c r="U191" s="63">
        <v>5692940</v>
      </c>
      <c r="V191" s="144">
        <v>0</v>
      </c>
      <c r="W191" s="64">
        <v>272</v>
      </c>
      <c r="X191" s="63">
        <v>5800000</v>
      </c>
      <c r="Y191" s="144">
        <v>76</v>
      </c>
      <c r="Z191" s="64">
        <v>225</v>
      </c>
      <c r="AA191" s="63">
        <v>5800000</v>
      </c>
      <c r="AB191" s="144">
        <v>52</v>
      </c>
      <c r="AC191" s="64">
        <v>297</v>
      </c>
      <c r="AD191" s="63">
        <v>5800000</v>
      </c>
      <c r="AE191" s="144">
        <v>0</v>
      </c>
      <c r="AF191" s="50">
        <v>296</v>
      </c>
      <c r="AG191" s="63">
        <v>5800000</v>
      </c>
      <c r="AH191" s="144">
        <v>0</v>
      </c>
      <c r="AI191" s="50">
        <v>311</v>
      </c>
      <c r="AJ191" s="63">
        <v>5800000</v>
      </c>
      <c r="AK191" s="237">
        <v>124</v>
      </c>
      <c r="AL191" s="221">
        <v>158</v>
      </c>
      <c r="AM191" s="222">
        <v>5800000</v>
      </c>
      <c r="AN191" s="237">
        <v>119</v>
      </c>
      <c r="AO191" s="221">
        <v>141</v>
      </c>
      <c r="AP191" s="222">
        <v>5800000</v>
      </c>
      <c r="AQ191" s="237">
        <v>121</v>
      </c>
      <c r="AR191" s="221">
        <v>148</v>
      </c>
      <c r="AS191" s="222">
        <v>5800000</v>
      </c>
      <c r="AT191" s="252"/>
      <c r="AW191" s="219"/>
    </row>
    <row r="192" spans="1:50" s="20" customFormat="1" ht="28.8" x14ac:dyDescent="0.3">
      <c r="B192" s="257">
        <v>35082</v>
      </c>
      <c r="C192" s="135" t="s">
        <v>234</v>
      </c>
      <c r="D192" s="46" t="s">
        <v>112</v>
      </c>
      <c r="E192" s="46" t="s">
        <v>113</v>
      </c>
      <c r="F192" s="18" t="s">
        <v>231</v>
      </c>
      <c r="G192" s="47">
        <v>81926449</v>
      </c>
      <c r="H192" s="48">
        <v>10</v>
      </c>
      <c r="I192" s="54">
        <v>111025600</v>
      </c>
      <c r="J192" s="23">
        <v>0</v>
      </c>
      <c r="K192" s="65"/>
      <c r="L192" s="23">
        <v>0</v>
      </c>
      <c r="M192" s="23">
        <v>0</v>
      </c>
      <c r="N192" s="65"/>
      <c r="O192" s="23">
        <v>0</v>
      </c>
      <c r="P192" s="23">
        <v>0</v>
      </c>
      <c r="Q192" s="50">
        <v>267</v>
      </c>
      <c r="R192" s="54">
        <v>8192645</v>
      </c>
      <c r="S192" s="23">
        <v>0</v>
      </c>
      <c r="T192" s="64">
        <v>275</v>
      </c>
      <c r="U192" s="65">
        <v>8192645</v>
      </c>
      <c r="V192" s="23">
        <v>0</v>
      </c>
      <c r="W192" s="23">
        <v>642</v>
      </c>
      <c r="X192" s="66">
        <v>8192645</v>
      </c>
      <c r="Y192" s="23">
        <v>6</v>
      </c>
      <c r="Z192" s="23">
        <v>587</v>
      </c>
      <c r="AA192" s="66">
        <v>8192645</v>
      </c>
      <c r="AB192" s="23">
        <v>0</v>
      </c>
      <c r="AC192" s="64">
        <v>592</v>
      </c>
      <c r="AD192" s="63">
        <v>8192645</v>
      </c>
      <c r="AE192" s="23">
        <v>0</v>
      </c>
      <c r="AF192" s="50">
        <v>250</v>
      </c>
      <c r="AG192" s="63">
        <v>8192645</v>
      </c>
      <c r="AH192" s="23">
        <v>217</v>
      </c>
      <c r="AI192" s="50">
        <v>220</v>
      </c>
      <c r="AJ192" s="63">
        <v>8192645</v>
      </c>
      <c r="AK192" s="23">
        <v>67</v>
      </c>
      <c r="AL192" s="221">
        <v>200</v>
      </c>
      <c r="AM192" s="222">
        <v>8192645</v>
      </c>
      <c r="AN192" s="254">
        <v>391</v>
      </c>
      <c r="AO192" s="221"/>
      <c r="AP192" s="222">
        <v>8192645</v>
      </c>
      <c r="AQ192" s="23"/>
      <c r="AR192" s="221"/>
      <c r="AS192" s="222"/>
      <c r="AT192" s="252"/>
      <c r="AW192" s="219"/>
    </row>
    <row r="193" spans="2:49" s="20" customFormat="1" ht="31.2" x14ac:dyDescent="0.3">
      <c r="B193" s="257">
        <v>37015</v>
      </c>
      <c r="C193" s="45" t="s">
        <v>235</v>
      </c>
      <c r="D193" s="12" t="s">
        <v>112</v>
      </c>
      <c r="E193" s="12" t="s">
        <v>113</v>
      </c>
      <c r="F193" s="18" t="s">
        <v>231</v>
      </c>
      <c r="G193" s="14">
        <v>210828357</v>
      </c>
      <c r="H193" s="48">
        <v>10</v>
      </c>
      <c r="I193" s="54">
        <v>402079734</v>
      </c>
      <c r="J193" s="23">
        <v>0</v>
      </c>
      <c r="K193" s="23"/>
      <c r="L193" s="23">
        <v>0</v>
      </c>
      <c r="M193" s="23">
        <v>0</v>
      </c>
      <c r="N193" s="23"/>
      <c r="O193" s="23">
        <v>0</v>
      </c>
      <c r="P193" s="23">
        <v>0</v>
      </c>
      <c r="Q193" s="23"/>
      <c r="R193" s="23">
        <v>0</v>
      </c>
      <c r="S193" s="23">
        <v>0</v>
      </c>
      <c r="T193" s="23"/>
      <c r="U193" s="23">
        <v>0</v>
      </c>
      <c r="V193" s="64">
        <v>1214</v>
      </c>
      <c r="W193" s="64">
        <v>4443</v>
      </c>
      <c r="X193" s="66">
        <v>21082836</v>
      </c>
      <c r="Y193" s="64">
        <v>1391</v>
      </c>
      <c r="Z193" s="64">
        <v>4443</v>
      </c>
      <c r="AA193" s="66">
        <v>21082836</v>
      </c>
      <c r="AB193" s="64">
        <v>1464</v>
      </c>
      <c r="AC193" s="64">
        <v>4443</v>
      </c>
      <c r="AD193" s="66">
        <v>21082836</v>
      </c>
      <c r="AE193" s="64">
        <v>407</v>
      </c>
      <c r="AF193" s="64">
        <v>4443</v>
      </c>
      <c r="AG193" s="66">
        <v>21082836</v>
      </c>
      <c r="AH193" s="64">
        <v>410</v>
      </c>
      <c r="AI193" s="64">
        <v>4443</v>
      </c>
      <c r="AJ193" s="238">
        <v>21082836</v>
      </c>
      <c r="AK193" s="64">
        <v>445</v>
      </c>
      <c r="AL193" s="64">
        <v>0</v>
      </c>
      <c r="AM193" s="238">
        <v>21082836</v>
      </c>
      <c r="AN193" s="64">
        <v>455</v>
      </c>
      <c r="AO193" s="64"/>
      <c r="AP193" s="238">
        <v>21082836</v>
      </c>
      <c r="AQ193" s="64"/>
      <c r="AR193" s="64"/>
      <c r="AS193" s="238"/>
      <c r="AT193" s="252"/>
      <c r="AW193" s="219"/>
    </row>
    <row r="194" spans="2:49" s="20" customFormat="1" ht="31.2" x14ac:dyDescent="0.3">
      <c r="B194" s="257">
        <v>37698</v>
      </c>
      <c r="C194" s="58" t="s">
        <v>236</v>
      </c>
      <c r="D194" s="46" t="s">
        <v>21</v>
      </c>
      <c r="E194" s="46" t="s">
        <v>22</v>
      </c>
      <c r="F194" s="18" t="s">
        <v>231</v>
      </c>
      <c r="G194" s="14">
        <v>34561347</v>
      </c>
      <c r="H194" s="48">
        <v>10</v>
      </c>
      <c r="I194" s="54">
        <v>91781639</v>
      </c>
      <c r="J194" s="23"/>
      <c r="K194" s="23"/>
      <c r="L194" s="23"/>
      <c r="M194" s="23"/>
      <c r="N194" s="23"/>
      <c r="O194" s="23"/>
      <c r="P194" s="23"/>
      <c r="Q194" s="23"/>
      <c r="R194" s="23"/>
      <c r="S194" s="23"/>
      <c r="T194" s="23"/>
      <c r="U194" s="23"/>
      <c r="V194" s="23">
        <v>592</v>
      </c>
      <c r="W194" s="64">
        <v>60</v>
      </c>
      <c r="X194" s="66">
        <v>3456135</v>
      </c>
      <c r="Y194" s="23">
        <v>575</v>
      </c>
      <c r="Z194" s="64">
        <v>59</v>
      </c>
      <c r="AA194" s="66">
        <v>3456135</v>
      </c>
      <c r="AB194" s="23">
        <v>616</v>
      </c>
      <c r="AC194" s="64">
        <v>50</v>
      </c>
      <c r="AD194" s="63">
        <v>3456135</v>
      </c>
      <c r="AE194" s="23">
        <v>367</v>
      </c>
      <c r="AF194" s="64">
        <v>90</v>
      </c>
      <c r="AG194" s="63">
        <v>3456135</v>
      </c>
      <c r="AH194" s="23">
        <v>478</v>
      </c>
      <c r="AI194" s="64">
        <v>90</v>
      </c>
      <c r="AJ194" s="222">
        <v>3456135</v>
      </c>
      <c r="AK194" s="23">
        <v>267</v>
      </c>
      <c r="AL194" s="64">
        <v>90</v>
      </c>
      <c r="AM194" s="222">
        <v>3456135</v>
      </c>
      <c r="AN194" s="23">
        <v>387</v>
      </c>
      <c r="AO194" s="64">
        <v>90</v>
      </c>
      <c r="AP194" s="222">
        <v>3456135</v>
      </c>
      <c r="AQ194" s="23">
        <v>275</v>
      </c>
      <c r="AR194" s="64">
        <v>90</v>
      </c>
      <c r="AS194" s="222">
        <v>3456135</v>
      </c>
      <c r="AT194" s="252"/>
      <c r="AW194" s="219"/>
    </row>
    <row r="195" spans="2:49" s="20" customFormat="1" x14ac:dyDescent="0.3">
      <c r="B195" s="257">
        <v>35645</v>
      </c>
      <c r="C195" s="58" t="s">
        <v>237</v>
      </c>
      <c r="D195" s="46" t="s">
        <v>112</v>
      </c>
      <c r="E195" s="46" t="s">
        <v>113</v>
      </c>
      <c r="F195" s="18" t="s">
        <v>231</v>
      </c>
      <c r="G195" s="14">
        <v>18450000</v>
      </c>
      <c r="H195" s="48">
        <v>10</v>
      </c>
      <c r="I195" s="54">
        <v>21230741</v>
      </c>
      <c r="J195" s="23"/>
      <c r="K195" s="23"/>
      <c r="L195" s="23"/>
      <c r="M195" s="23"/>
      <c r="N195" s="23"/>
      <c r="O195" s="23"/>
      <c r="P195" s="23"/>
      <c r="Q195" s="23"/>
      <c r="R195" s="23"/>
      <c r="S195" s="23"/>
      <c r="T195" s="23"/>
      <c r="U195" s="23"/>
      <c r="V195" s="64"/>
      <c r="W195" s="64"/>
      <c r="X195" s="66"/>
      <c r="Y195" s="23">
        <v>513</v>
      </c>
      <c r="Z195" s="64">
        <v>14</v>
      </c>
      <c r="AA195" s="66">
        <v>1845000</v>
      </c>
      <c r="AB195" s="23">
        <v>503</v>
      </c>
      <c r="AC195" s="64">
        <v>15</v>
      </c>
      <c r="AD195" s="66">
        <v>1845000</v>
      </c>
      <c r="AE195" s="23">
        <v>373</v>
      </c>
      <c r="AF195" s="64">
        <v>2</v>
      </c>
      <c r="AG195" s="66">
        <v>1845000</v>
      </c>
      <c r="AH195" s="23">
        <v>278</v>
      </c>
      <c r="AI195" s="64">
        <v>9</v>
      </c>
      <c r="AJ195" s="238">
        <v>1845000</v>
      </c>
      <c r="AK195" s="23">
        <v>275</v>
      </c>
      <c r="AL195" s="64">
        <v>10</v>
      </c>
      <c r="AM195" s="238">
        <v>1845000</v>
      </c>
      <c r="AN195" s="254">
        <v>251</v>
      </c>
      <c r="AO195" s="255">
        <v>10</v>
      </c>
      <c r="AP195" s="238">
        <v>1845000</v>
      </c>
      <c r="AQ195" s="23"/>
      <c r="AR195" s="64"/>
      <c r="AS195" s="238"/>
      <c r="AT195" s="252"/>
      <c r="AW195" s="219"/>
    </row>
    <row r="196" spans="2:49" s="20" customFormat="1" x14ac:dyDescent="0.3">
      <c r="B196" s="257">
        <v>35782</v>
      </c>
      <c r="C196" s="58" t="s">
        <v>238</v>
      </c>
      <c r="D196" s="46" t="s">
        <v>112</v>
      </c>
      <c r="E196" s="46" t="s">
        <v>113</v>
      </c>
      <c r="F196" s="18" t="s">
        <v>231</v>
      </c>
      <c r="G196" s="14">
        <v>26550000</v>
      </c>
      <c r="H196" s="48">
        <v>10</v>
      </c>
      <c r="I196" s="54">
        <v>30551555</v>
      </c>
      <c r="J196" s="23"/>
      <c r="K196" s="23"/>
      <c r="L196" s="23"/>
      <c r="M196" s="23"/>
      <c r="N196" s="23"/>
      <c r="O196" s="23"/>
      <c r="P196" s="23"/>
      <c r="Q196" s="23"/>
      <c r="R196" s="23"/>
      <c r="S196" s="23"/>
      <c r="T196" s="23"/>
      <c r="U196" s="23"/>
      <c r="V196" s="64"/>
      <c r="W196" s="64"/>
      <c r="X196" s="66"/>
      <c r="Y196" s="64">
        <v>481</v>
      </c>
      <c r="Z196" s="64">
        <v>22</v>
      </c>
      <c r="AA196" s="66">
        <v>2655000</v>
      </c>
      <c r="AB196" s="64">
        <v>14</v>
      </c>
      <c r="AC196" s="64">
        <v>7</v>
      </c>
      <c r="AD196" s="66">
        <v>2655000</v>
      </c>
      <c r="AE196" s="64">
        <v>370</v>
      </c>
      <c r="AF196" s="64">
        <v>9</v>
      </c>
      <c r="AG196" s="66">
        <v>2655000</v>
      </c>
      <c r="AH196" s="64">
        <v>255</v>
      </c>
      <c r="AI196" s="64">
        <v>10</v>
      </c>
      <c r="AJ196" s="238">
        <v>2655000</v>
      </c>
      <c r="AK196" s="64">
        <v>243</v>
      </c>
      <c r="AL196" s="64">
        <v>14</v>
      </c>
      <c r="AM196" s="238">
        <v>2655000</v>
      </c>
      <c r="AN196" s="64">
        <v>246</v>
      </c>
      <c r="AO196" s="64">
        <v>13</v>
      </c>
      <c r="AP196" s="238">
        <v>2655000</v>
      </c>
      <c r="AQ196" s="64"/>
      <c r="AR196" s="64"/>
      <c r="AS196" s="238"/>
      <c r="AT196" s="252"/>
      <c r="AW196" s="219"/>
    </row>
    <row r="197" spans="2:49" s="20" customFormat="1" x14ac:dyDescent="0.3">
      <c r="B197" s="257">
        <v>36344</v>
      </c>
      <c r="C197" s="58" t="s">
        <v>239</v>
      </c>
      <c r="D197" s="46" t="s">
        <v>36</v>
      </c>
      <c r="E197" s="46" t="s">
        <v>36</v>
      </c>
      <c r="F197" s="18" t="s">
        <v>231</v>
      </c>
      <c r="G197" s="14">
        <v>34191809</v>
      </c>
      <c r="H197" s="48">
        <v>10</v>
      </c>
      <c r="I197" s="54">
        <v>55629385</v>
      </c>
      <c r="J197" s="23"/>
      <c r="K197" s="23"/>
      <c r="L197" s="23"/>
      <c r="M197" s="23"/>
      <c r="N197" s="23"/>
      <c r="O197" s="23"/>
      <c r="P197" s="23"/>
      <c r="Q197" s="23"/>
      <c r="R197" s="23"/>
      <c r="S197" s="23"/>
      <c r="T197" s="23"/>
      <c r="U197" s="23"/>
      <c r="V197" s="64"/>
      <c r="W197" s="64"/>
      <c r="X197" s="66"/>
      <c r="Y197" s="23">
        <v>534</v>
      </c>
      <c r="Z197" s="64">
        <v>753</v>
      </c>
      <c r="AA197" s="66">
        <v>3419181</v>
      </c>
      <c r="AB197" s="23">
        <v>601</v>
      </c>
      <c r="AC197" s="64">
        <v>687</v>
      </c>
      <c r="AD197" s="66">
        <v>3419181</v>
      </c>
      <c r="AE197" s="23">
        <v>5</v>
      </c>
      <c r="AF197" s="64">
        <v>1221</v>
      </c>
      <c r="AG197" s="66">
        <v>3419181</v>
      </c>
      <c r="AH197" s="23"/>
      <c r="AI197" s="64"/>
      <c r="AJ197" s="238"/>
      <c r="AK197" s="23"/>
      <c r="AL197" s="64"/>
      <c r="AM197" s="238"/>
      <c r="AN197" s="23"/>
      <c r="AO197" s="64"/>
      <c r="AP197" s="238"/>
      <c r="AQ197" s="23"/>
      <c r="AR197" s="64"/>
      <c r="AS197" s="238"/>
      <c r="AT197" s="252"/>
      <c r="AW197" s="219"/>
    </row>
    <row r="198" spans="2:49" s="20" customFormat="1" x14ac:dyDescent="0.3">
      <c r="B198" s="257">
        <v>37683</v>
      </c>
      <c r="C198" s="58" t="s">
        <v>240</v>
      </c>
      <c r="D198" s="46" t="s">
        <v>112</v>
      </c>
      <c r="E198" s="46" t="s">
        <v>113</v>
      </c>
      <c r="F198" s="18" t="s">
        <v>231</v>
      </c>
      <c r="G198" s="14">
        <v>37451378</v>
      </c>
      <c r="H198" s="48">
        <v>10</v>
      </c>
      <c r="I198" s="54">
        <v>56029071</v>
      </c>
      <c r="J198" s="23"/>
      <c r="K198" s="23"/>
      <c r="L198" s="23"/>
      <c r="M198" s="23"/>
      <c r="N198" s="23"/>
      <c r="O198" s="23"/>
      <c r="P198" s="23"/>
      <c r="Q198" s="23"/>
      <c r="R198" s="23"/>
      <c r="S198" s="23"/>
      <c r="T198" s="23"/>
      <c r="U198" s="64"/>
      <c r="V198" s="64"/>
      <c r="W198" s="64"/>
      <c r="X198" s="66"/>
      <c r="Y198" s="23">
        <v>242</v>
      </c>
      <c r="Z198" s="64">
        <v>270</v>
      </c>
      <c r="AA198" s="66">
        <v>3745137</v>
      </c>
      <c r="AB198" s="23"/>
      <c r="AC198" s="64"/>
      <c r="AD198" s="66"/>
      <c r="AE198" s="23"/>
      <c r="AF198" s="64"/>
      <c r="AG198" s="66"/>
      <c r="AH198" s="23"/>
      <c r="AI198" s="64"/>
      <c r="AJ198" s="66"/>
      <c r="AK198" s="23"/>
      <c r="AL198" s="64"/>
      <c r="AM198" s="66"/>
      <c r="AN198" s="23"/>
      <c r="AO198" s="64"/>
      <c r="AP198" s="66"/>
      <c r="AQ198" s="23"/>
      <c r="AR198" s="64"/>
      <c r="AS198" s="66"/>
      <c r="AT198" s="252"/>
      <c r="AW198" s="219"/>
    </row>
    <row r="199" spans="2:49" s="28" customFormat="1" x14ac:dyDescent="0.3">
      <c r="B199" s="258"/>
      <c r="C199" s="29" t="str">
        <f>CONCATENATE(COUNTA(C189:C198) &amp; " Projects")</f>
        <v>10 Projects</v>
      </c>
      <c r="D199" s="30"/>
      <c r="E199" s="30"/>
      <c r="F199" s="31"/>
      <c r="G199" s="32">
        <f>SUM(G189:G198)</f>
        <v>625510545</v>
      </c>
      <c r="H199" s="33"/>
      <c r="I199" s="32">
        <f>SUM(I189:I198)</f>
        <v>1022461472</v>
      </c>
      <c r="J199" s="60">
        <f t="shared" ref="J199:AD199" si="2">SUM(J189:J198)</f>
        <v>72</v>
      </c>
      <c r="K199" s="60">
        <f t="shared" si="2"/>
        <v>450</v>
      </c>
      <c r="L199" s="32">
        <f t="shared" si="2"/>
        <v>4165000</v>
      </c>
      <c r="M199" s="60">
        <f t="shared" si="2"/>
        <v>86</v>
      </c>
      <c r="N199" s="60">
        <f t="shared" si="2"/>
        <v>450</v>
      </c>
      <c r="O199" s="32">
        <f t="shared" si="2"/>
        <v>4165000</v>
      </c>
      <c r="P199" s="60">
        <f t="shared" si="2"/>
        <v>86</v>
      </c>
      <c r="Q199" s="60">
        <f t="shared" si="2"/>
        <v>717</v>
      </c>
      <c r="R199" s="32">
        <f t="shared" si="2"/>
        <v>12357645</v>
      </c>
      <c r="S199" s="60">
        <f t="shared" si="2"/>
        <v>67</v>
      </c>
      <c r="T199" s="60">
        <f t="shared" si="2"/>
        <v>989</v>
      </c>
      <c r="U199" s="32">
        <f t="shared" si="2"/>
        <v>18050585</v>
      </c>
      <c r="V199" s="60">
        <f t="shared" si="2"/>
        <v>1966</v>
      </c>
      <c r="W199" s="60">
        <f t="shared" si="2"/>
        <v>6231</v>
      </c>
      <c r="X199" s="32">
        <f t="shared" si="2"/>
        <v>50731915</v>
      </c>
      <c r="Y199" s="60">
        <f t="shared" si="2"/>
        <v>3948</v>
      </c>
      <c r="Z199" s="60">
        <f t="shared" si="2"/>
        <v>7136</v>
      </c>
      <c r="AA199" s="32">
        <f t="shared" si="2"/>
        <v>62396233</v>
      </c>
      <c r="AB199" s="60">
        <f t="shared" si="2"/>
        <v>3386</v>
      </c>
      <c r="AC199" s="60">
        <f t="shared" si="2"/>
        <v>6851</v>
      </c>
      <c r="AD199" s="32">
        <f t="shared" si="2"/>
        <v>58651096</v>
      </c>
      <c r="AE199" s="60">
        <f t="shared" ref="AE199:AG199" si="3">SUM(AE189:AE198)</f>
        <v>1546</v>
      </c>
      <c r="AF199" s="60">
        <f t="shared" si="3"/>
        <v>6680</v>
      </c>
      <c r="AG199" s="32">
        <f t="shared" si="3"/>
        <v>54486096</v>
      </c>
      <c r="AH199" s="60">
        <f t="shared" ref="AH199:AJ199" si="4">SUM(AH189:AH198)</f>
        <v>1638</v>
      </c>
      <c r="AI199" s="60">
        <f t="shared" si="4"/>
        <v>5451</v>
      </c>
      <c r="AJ199" s="32">
        <f t="shared" si="4"/>
        <v>51066915</v>
      </c>
      <c r="AK199" s="60">
        <f t="shared" ref="AK199:AM199" si="5">SUM(AK189:AK198)</f>
        <v>1421</v>
      </c>
      <c r="AL199" s="60">
        <f t="shared" si="5"/>
        <v>830</v>
      </c>
      <c r="AM199" s="32">
        <f t="shared" si="5"/>
        <v>51066915</v>
      </c>
      <c r="AN199" s="60">
        <f t="shared" ref="AN199:AP199" si="6">SUM(AN189:AN198)</f>
        <v>2164</v>
      </c>
      <c r="AO199" s="60">
        <f t="shared" si="6"/>
        <v>304</v>
      </c>
      <c r="AP199" s="32">
        <f t="shared" si="6"/>
        <v>51221736</v>
      </c>
      <c r="AQ199" s="60">
        <f t="shared" ref="AQ199:AS199" si="7">SUM(AQ189:AQ198)</f>
        <v>686</v>
      </c>
      <c r="AR199" s="60">
        <f t="shared" si="7"/>
        <v>238</v>
      </c>
      <c r="AS199" s="32">
        <f t="shared" si="7"/>
        <v>17446255</v>
      </c>
      <c r="AT199" s="204"/>
      <c r="AW199" s="204"/>
    </row>
    <row r="200" spans="2:49" s="28" customFormat="1" ht="16.2" thickBot="1" x14ac:dyDescent="0.35">
      <c r="B200" s="258"/>
      <c r="C200" s="216"/>
      <c r="D200" s="36"/>
      <c r="E200" s="36"/>
      <c r="F200" s="35"/>
      <c r="G200" s="37"/>
      <c r="H200" s="36"/>
      <c r="I200" s="36"/>
      <c r="J200" s="36"/>
      <c r="K200" s="37"/>
      <c r="L200" s="37"/>
      <c r="M200" s="37"/>
      <c r="N200" s="38"/>
      <c r="O200" s="38"/>
      <c r="P200" s="37"/>
      <c r="Q200" s="38"/>
      <c r="R200" s="38"/>
      <c r="S200" s="37"/>
      <c r="T200" s="38"/>
      <c r="U200" s="38"/>
      <c r="V200" s="37"/>
      <c r="W200" s="42"/>
      <c r="X200" s="43"/>
      <c r="Y200" s="43"/>
      <c r="Z200" s="42"/>
      <c r="AJ200" s="204"/>
      <c r="AP200" s="250"/>
      <c r="AS200" s="152"/>
    </row>
    <row r="201" spans="2:49" ht="12.75" customHeight="1" thickBot="1" x14ac:dyDescent="0.35">
      <c r="C201" s="284" t="s">
        <v>241</v>
      </c>
      <c r="D201" s="285"/>
      <c r="E201" s="285"/>
      <c r="F201" s="285"/>
      <c r="G201" s="285"/>
      <c r="H201" s="285"/>
      <c r="I201" s="286"/>
      <c r="J201" s="67">
        <v>2012</v>
      </c>
      <c r="K201" s="67">
        <v>2013</v>
      </c>
      <c r="L201" s="67">
        <v>2014</v>
      </c>
      <c r="M201" s="67">
        <v>2015</v>
      </c>
      <c r="N201" s="67">
        <v>2016</v>
      </c>
      <c r="O201" s="67">
        <v>2017</v>
      </c>
      <c r="P201" s="67">
        <v>2018</v>
      </c>
      <c r="Q201" s="67">
        <v>2019</v>
      </c>
      <c r="R201" s="67">
        <v>2020</v>
      </c>
      <c r="S201" s="67">
        <v>2021</v>
      </c>
      <c r="T201" s="67">
        <v>2022</v>
      </c>
      <c r="U201" s="67">
        <v>2023</v>
      </c>
      <c r="V201" s="28"/>
      <c r="Y201" s="68"/>
      <c r="AK201" s="153"/>
      <c r="AL201" s="153"/>
    </row>
    <row r="202" spans="2:49" s="8" customFormat="1" ht="49.5" customHeight="1" x14ac:dyDescent="0.3">
      <c r="B202" s="259"/>
      <c r="C202" s="69" t="s">
        <v>1</v>
      </c>
      <c r="D202" s="70" t="s">
        <v>2</v>
      </c>
      <c r="E202" s="70" t="s">
        <v>3</v>
      </c>
      <c r="F202" s="70" t="s">
        <v>4</v>
      </c>
      <c r="G202" s="70" t="s">
        <v>5</v>
      </c>
      <c r="H202" s="71" t="s">
        <v>6</v>
      </c>
      <c r="I202" s="10" t="s">
        <v>8</v>
      </c>
      <c r="J202" s="156" t="s">
        <v>11</v>
      </c>
      <c r="K202" s="156" t="s">
        <v>11</v>
      </c>
      <c r="L202" s="156" t="s">
        <v>11</v>
      </c>
      <c r="M202" s="156" t="s">
        <v>11</v>
      </c>
      <c r="N202" s="156" t="s">
        <v>11</v>
      </c>
      <c r="O202" s="156" t="s">
        <v>11</v>
      </c>
      <c r="P202" s="156" t="s">
        <v>11</v>
      </c>
      <c r="Q202" s="156" t="s">
        <v>11</v>
      </c>
      <c r="R202" s="156" t="s">
        <v>11</v>
      </c>
      <c r="S202" s="156" t="s">
        <v>11</v>
      </c>
      <c r="T202" s="156" t="s">
        <v>11</v>
      </c>
      <c r="U202" s="156" t="s">
        <v>11</v>
      </c>
      <c r="V202" s="28"/>
      <c r="AG202" s="167"/>
      <c r="AP202" s="269"/>
    </row>
    <row r="203" spans="2:49" s="20" customFormat="1" ht="30" customHeight="1" x14ac:dyDescent="0.3">
      <c r="B203" s="257">
        <v>37695</v>
      </c>
      <c r="C203" s="45" t="s">
        <v>242</v>
      </c>
      <c r="D203" s="46" t="s">
        <v>87</v>
      </c>
      <c r="E203" s="46" t="s">
        <v>62</v>
      </c>
      <c r="F203" s="46" t="s">
        <v>243</v>
      </c>
      <c r="G203" s="47">
        <v>76600000</v>
      </c>
      <c r="H203" s="162">
        <v>10</v>
      </c>
      <c r="I203" s="73">
        <v>220224264</v>
      </c>
      <c r="J203" s="73">
        <v>7660000</v>
      </c>
      <c r="K203" s="73">
        <v>7660000</v>
      </c>
      <c r="L203" s="73">
        <v>7660000</v>
      </c>
      <c r="M203" s="73">
        <v>7660000</v>
      </c>
      <c r="N203" s="73">
        <v>7660000</v>
      </c>
      <c r="O203" s="73">
        <v>7660000</v>
      </c>
      <c r="P203" s="73">
        <f>4947810+2712190</f>
        <v>7660000</v>
      </c>
      <c r="Q203" s="73">
        <v>7660000</v>
      </c>
      <c r="R203" s="73">
        <v>7660000</v>
      </c>
      <c r="S203" s="73">
        <v>7660000</v>
      </c>
      <c r="T203" s="220"/>
      <c r="U203" s="220"/>
      <c r="V203" s="186"/>
    </row>
    <row r="204" spans="2:49" s="20" customFormat="1" ht="46.8" x14ac:dyDescent="0.3">
      <c r="B204" s="257">
        <v>34884</v>
      </c>
      <c r="C204" s="45" t="s">
        <v>244</v>
      </c>
      <c r="D204" s="46" t="s">
        <v>87</v>
      </c>
      <c r="E204" s="46" t="s">
        <v>62</v>
      </c>
      <c r="F204" s="46" t="s">
        <v>243</v>
      </c>
      <c r="G204" s="47">
        <v>23810360</v>
      </c>
      <c r="H204" s="74">
        <v>10</v>
      </c>
      <c r="I204" s="73">
        <v>78838351</v>
      </c>
      <c r="J204" s="55">
        <v>0</v>
      </c>
      <c r="K204" s="55">
        <v>0</v>
      </c>
      <c r="L204" s="73">
        <v>2381036</v>
      </c>
      <c r="M204" s="73">
        <v>2381036</v>
      </c>
      <c r="N204" s="73">
        <v>2381036</v>
      </c>
      <c r="O204" s="73">
        <v>2381036</v>
      </c>
      <c r="P204" s="73">
        <v>2381036</v>
      </c>
      <c r="Q204" s="73">
        <v>2381036</v>
      </c>
      <c r="R204" s="73">
        <v>2381036</v>
      </c>
      <c r="S204" s="73">
        <v>2381036</v>
      </c>
      <c r="T204" s="220">
        <v>2381036</v>
      </c>
      <c r="U204" s="220">
        <v>2381036</v>
      </c>
      <c r="V204" s="186"/>
    </row>
    <row r="205" spans="2:49" s="20" customFormat="1" x14ac:dyDescent="0.3">
      <c r="B205" s="257">
        <v>37275</v>
      </c>
      <c r="C205" s="45" t="s">
        <v>245</v>
      </c>
      <c r="D205" s="46" t="s">
        <v>21</v>
      </c>
      <c r="E205" s="46" t="s">
        <v>22</v>
      </c>
      <c r="F205" s="46" t="s">
        <v>243</v>
      </c>
      <c r="G205" s="47">
        <v>42015207</v>
      </c>
      <c r="H205" s="74">
        <v>10</v>
      </c>
      <c r="I205" s="73">
        <v>144552326</v>
      </c>
      <c r="J205" s="55">
        <v>0</v>
      </c>
      <c r="K205" s="55">
        <v>0</v>
      </c>
      <c r="L205" s="73">
        <v>4201521</v>
      </c>
      <c r="M205" s="73">
        <v>4201521</v>
      </c>
      <c r="N205" s="73">
        <v>4201521</v>
      </c>
      <c r="O205" s="73">
        <v>4201521</v>
      </c>
      <c r="P205" s="73">
        <v>4201521</v>
      </c>
      <c r="Q205" s="73">
        <v>4201521</v>
      </c>
      <c r="R205" s="73">
        <v>4201521</v>
      </c>
      <c r="S205" s="73">
        <v>4201521</v>
      </c>
      <c r="T205" s="220">
        <v>4201521</v>
      </c>
      <c r="U205" s="220">
        <v>4201521</v>
      </c>
      <c r="V205" s="186"/>
    </row>
    <row r="206" spans="2:49" s="20" customFormat="1" ht="31.2" x14ac:dyDescent="0.3">
      <c r="B206" s="257">
        <v>37398</v>
      </c>
      <c r="C206" s="45" t="s">
        <v>246</v>
      </c>
      <c r="D206" s="46" t="s">
        <v>133</v>
      </c>
      <c r="E206" s="46" t="s">
        <v>33</v>
      </c>
      <c r="F206" s="46" t="s">
        <v>243</v>
      </c>
      <c r="G206" s="47">
        <v>17716713</v>
      </c>
      <c r="H206" s="74">
        <v>10</v>
      </c>
      <c r="I206" s="73">
        <v>62079729</v>
      </c>
      <c r="J206" s="55"/>
      <c r="K206" s="55"/>
      <c r="L206" s="73">
        <v>1771671</v>
      </c>
      <c r="M206" s="73">
        <v>1771671</v>
      </c>
      <c r="N206" s="73">
        <v>1771671</v>
      </c>
      <c r="O206" s="73">
        <v>1771671</v>
      </c>
      <c r="P206" s="73">
        <v>1771671</v>
      </c>
      <c r="Q206" s="73">
        <v>1771671</v>
      </c>
      <c r="R206" s="73">
        <v>1771671</v>
      </c>
      <c r="S206" s="73">
        <v>1771671</v>
      </c>
      <c r="T206" s="73">
        <v>1771671</v>
      </c>
      <c r="U206" s="220">
        <v>1771671</v>
      </c>
      <c r="V206" s="186"/>
    </row>
    <row r="207" spans="2:49" s="20" customFormat="1" ht="31.2" x14ac:dyDescent="0.3">
      <c r="B207" s="257">
        <v>38095</v>
      </c>
      <c r="C207" s="58" t="s">
        <v>247</v>
      </c>
      <c r="D207" s="46" t="s">
        <v>87</v>
      </c>
      <c r="E207" s="46" t="s">
        <v>62</v>
      </c>
      <c r="F207" s="46" t="s">
        <v>243</v>
      </c>
      <c r="G207" s="47">
        <v>33000000</v>
      </c>
      <c r="H207" s="74">
        <v>10</v>
      </c>
      <c r="I207" s="73">
        <v>233421270</v>
      </c>
      <c r="J207" s="55"/>
      <c r="K207" s="55"/>
      <c r="L207" s="73"/>
      <c r="M207" s="54"/>
      <c r="N207" s="73">
        <v>3300000</v>
      </c>
      <c r="O207" s="73">
        <v>3300000</v>
      </c>
      <c r="P207" s="73">
        <v>3300000</v>
      </c>
      <c r="Q207" s="73">
        <v>3300000</v>
      </c>
      <c r="R207" s="73">
        <v>3300000</v>
      </c>
      <c r="S207" s="73">
        <v>3300000</v>
      </c>
      <c r="T207" s="220">
        <v>3300000</v>
      </c>
      <c r="U207" s="220">
        <v>3300000</v>
      </c>
      <c r="V207" s="186"/>
    </row>
    <row r="208" spans="2:49" s="20" customFormat="1" x14ac:dyDescent="0.3">
      <c r="B208" s="257">
        <v>37278</v>
      </c>
      <c r="C208" s="58" t="s">
        <v>248</v>
      </c>
      <c r="D208" s="46" t="s">
        <v>21</v>
      </c>
      <c r="E208" s="46" t="s">
        <v>22</v>
      </c>
      <c r="F208" s="46" t="s">
        <v>243</v>
      </c>
      <c r="G208" s="47">
        <v>28317582</v>
      </c>
      <c r="H208" s="74">
        <v>10</v>
      </c>
      <c r="I208" s="73">
        <v>176982983</v>
      </c>
      <c r="J208" s="55"/>
      <c r="K208" s="55"/>
      <c r="L208" s="73"/>
      <c r="M208" s="54"/>
      <c r="N208" s="73">
        <v>2831758</v>
      </c>
      <c r="O208" s="73">
        <v>2831758</v>
      </c>
      <c r="P208" s="73">
        <v>2831758</v>
      </c>
      <c r="Q208" s="73">
        <v>2831758</v>
      </c>
      <c r="R208" s="73">
        <v>2831758</v>
      </c>
      <c r="S208" s="73">
        <v>2831758</v>
      </c>
      <c r="T208" s="220">
        <v>2831758</v>
      </c>
      <c r="U208" s="220">
        <v>2831758</v>
      </c>
      <c r="V208" s="186"/>
    </row>
    <row r="209" spans="2:23" s="20" customFormat="1" ht="46.8" x14ac:dyDescent="0.3">
      <c r="B209" s="257">
        <v>37908</v>
      </c>
      <c r="C209" s="58" t="s">
        <v>249</v>
      </c>
      <c r="D209" s="46" t="s">
        <v>112</v>
      </c>
      <c r="E209" s="46" t="s">
        <v>113</v>
      </c>
      <c r="F209" s="46" t="s">
        <v>243</v>
      </c>
      <c r="G209" s="47">
        <v>23831845</v>
      </c>
      <c r="H209" s="74">
        <v>10</v>
      </c>
      <c r="I209" s="73">
        <v>69249088</v>
      </c>
      <c r="J209" s="55"/>
      <c r="K209" s="55"/>
      <c r="L209" s="73"/>
      <c r="M209" s="54"/>
      <c r="N209" s="73">
        <v>2383185</v>
      </c>
      <c r="O209" s="73">
        <v>2383185</v>
      </c>
      <c r="P209" s="73">
        <v>2383185</v>
      </c>
      <c r="Q209" s="73">
        <v>2383185</v>
      </c>
      <c r="R209" s="73">
        <v>2383185</v>
      </c>
      <c r="S209" s="73">
        <v>2383185</v>
      </c>
      <c r="T209" s="220">
        <v>2383185</v>
      </c>
      <c r="U209" s="220">
        <v>2383185</v>
      </c>
      <c r="V209" s="186"/>
    </row>
    <row r="210" spans="2:23" s="20" customFormat="1" x14ac:dyDescent="0.3">
      <c r="B210" s="257">
        <v>37911</v>
      </c>
      <c r="C210" s="58" t="s">
        <v>250</v>
      </c>
      <c r="D210" s="46" t="s">
        <v>21</v>
      </c>
      <c r="E210" s="46" t="s">
        <v>22</v>
      </c>
      <c r="F210" s="46" t="s">
        <v>243</v>
      </c>
      <c r="G210" s="47">
        <v>33000000</v>
      </c>
      <c r="H210" s="74">
        <v>10</v>
      </c>
      <c r="I210" s="73">
        <v>271105374</v>
      </c>
      <c r="J210" s="55"/>
      <c r="K210" s="55"/>
      <c r="L210" s="73"/>
      <c r="M210" s="54"/>
      <c r="N210" s="73"/>
      <c r="O210" s="73">
        <v>3300000</v>
      </c>
      <c r="P210" s="73">
        <v>3300000</v>
      </c>
      <c r="Q210" s="73">
        <v>3300000</v>
      </c>
      <c r="R210" s="73">
        <v>3300000</v>
      </c>
      <c r="S210" s="73">
        <v>3300000</v>
      </c>
      <c r="T210" s="220">
        <v>3300000</v>
      </c>
      <c r="U210" s="220">
        <v>3300000</v>
      </c>
      <c r="V210" s="186"/>
    </row>
    <row r="211" spans="2:23" s="20" customFormat="1" x14ac:dyDescent="0.3">
      <c r="B211" s="257">
        <v>37916</v>
      </c>
      <c r="C211" s="58" t="s">
        <v>251</v>
      </c>
      <c r="D211" s="46" t="s">
        <v>21</v>
      </c>
      <c r="E211" s="46" t="s">
        <v>22</v>
      </c>
      <c r="F211" s="46" t="s">
        <v>243</v>
      </c>
      <c r="G211" s="47">
        <v>33000000</v>
      </c>
      <c r="H211" s="74">
        <v>10</v>
      </c>
      <c r="I211" s="73">
        <v>208316712</v>
      </c>
      <c r="J211" s="55"/>
      <c r="K211" s="55"/>
      <c r="L211" s="73"/>
      <c r="M211" s="54"/>
      <c r="N211" s="73"/>
      <c r="O211" s="73">
        <v>3300000</v>
      </c>
      <c r="P211" s="73">
        <v>3300000</v>
      </c>
      <c r="Q211" s="73">
        <v>3300000</v>
      </c>
      <c r="R211" s="73">
        <v>3300000</v>
      </c>
      <c r="S211" s="73">
        <v>3300000</v>
      </c>
      <c r="T211" s="220">
        <v>3300000</v>
      </c>
      <c r="U211" s="220">
        <v>3300000</v>
      </c>
      <c r="V211" s="186"/>
    </row>
    <row r="212" spans="2:23" s="20" customFormat="1" x14ac:dyDescent="0.3">
      <c r="B212" s="257">
        <v>37909</v>
      </c>
      <c r="C212" s="58" t="s">
        <v>252</v>
      </c>
      <c r="D212" s="46" t="s">
        <v>21</v>
      </c>
      <c r="E212" s="46" t="s">
        <v>22</v>
      </c>
      <c r="F212" s="46" t="s">
        <v>243</v>
      </c>
      <c r="G212" s="47">
        <v>19776911</v>
      </c>
      <c r="H212" s="74">
        <v>10</v>
      </c>
      <c r="I212" s="73">
        <v>65128551</v>
      </c>
      <c r="J212" s="55"/>
      <c r="K212" s="55"/>
      <c r="L212" s="73"/>
      <c r="M212" s="54"/>
      <c r="N212" s="73"/>
      <c r="O212" s="73">
        <v>1977691</v>
      </c>
      <c r="P212" s="73">
        <v>1977691</v>
      </c>
      <c r="Q212" s="73">
        <v>1977691</v>
      </c>
      <c r="R212" s="73">
        <v>1977691</v>
      </c>
      <c r="S212" s="73">
        <v>1977691</v>
      </c>
      <c r="T212" s="220">
        <v>1977691</v>
      </c>
      <c r="U212" s="220">
        <v>1977691</v>
      </c>
      <c r="V212" s="186"/>
    </row>
    <row r="213" spans="2:23" s="20" customFormat="1" x14ac:dyDescent="0.3">
      <c r="B213" s="257">
        <v>34886</v>
      </c>
      <c r="C213" s="135" t="s">
        <v>253</v>
      </c>
      <c r="D213" s="46" t="s">
        <v>112</v>
      </c>
      <c r="E213" s="46" t="s">
        <v>113</v>
      </c>
      <c r="F213" s="46" t="s">
        <v>243</v>
      </c>
      <c r="G213" s="47">
        <v>39456741</v>
      </c>
      <c r="H213" s="74">
        <v>10</v>
      </c>
      <c r="I213" s="73">
        <v>119688918</v>
      </c>
      <c r="J213" s="55"/>
      <c r="K213" s="55"/>
      <c r="L213" s="73"/>
      <c r="M213" s="54"/>
      <c r="N213" s="73"/>
      <c r="O213" s="73">
        <v>3945674</v>
      </c>
      <c r="P213" s="73">
        <v>3945674</v>
      </c>
      <c r="Q213" s="73">
        <v>3945674</v>
      </c>
      <c r="R213" s="73">
        <v>3945674</v>
      </c>
      <c r="S213" s="73">
        <v>3945674</v>
      </c>
      <c r="T213" s="220">
        <v>3945674</v>
      </c>
      <c r="U213" s="220">
        <v>3945674</v>
      </c>
      <c r="V213" s="186"/>
    </row>
    <row r="214" spans="2:23" s="20" customFormat="1" ht="28.8" x14ac:dyDescent="0.3">
      <c r="B214" s="257">
        <v>37913</v>
      </c>
      <c r="C214" s="135" t="s">
        <v>254</v>
      </c>
      <c r="D214" s="46" t="s">
        <v>112</v>
      </c>
      <c r="E214" s="46" t="s">
        <v>113</v>
      </c>
      <c r="F214" s="46" t="s">
        <v>243</v>
      </c>
      <c r="G214" s="47">
        <v>33000000</v>
      </c>
      <c r="H214" s="74">
        <v>10</v>
      </c>
      <c r="I214" s="73">
        <v>106020168</v>
      </c>
      <c r="J214" s="55"/>
      <c r="K214" s="55"/>
      <c r="L214" s="73"/>
      <c r="M214" s="54"/>
      <c r="N214" s="73"/>
      <c r="O214" s="73"/>
      <c r="P214" s="73">
        <v>3300000</v>
      </c>
      <c r="Q214" s="73">
        <v>3300000</v>
      </c>
      <c r="R214" s="73">
        <v>3300000</v>
      </c>
      <c r="S214" s="73">
        <v>3300000</v>
      </c>
      <c r="T214" s="220">
        <v>3300000</v>
      </c>
      <c r="U214" s="220">
        <v>3300000</v>
      </c>
      <c r="V214" s="186"/>
    </row>
    <row r="215" spans="2:23" s="20" customFormat="1" ht="28.8" x14ac:dyDescent="0.3">
      <c r="B215" s="257">
        <v>37912</v>
      </c>
      <c r="C215" s="135" t="s">
        <v>255</v>
      </c>
      <c r="D215" s="46" t="s">
        <v>87</v>
      </c>
      <c r="E215" s="46" t="s">
        <v>62</v>
      </c>
      <c r="F215" s="46" t="s">
        <v>243</v>
      </c>
      <c r="G215" s="47">
        <v>28429000</v>
      </c>
      <c r="H215" s="74">
        <v>10</v>
      </c>
      <c r="I215" s="73">
        <v>95852448</v>
      </c>
      <c r="J215" s="55"/>
      <c r="K215" s="55"/>
      <c r="L215" s="73"/>
      <c r="M215" s="54"/>
      <c r="N215" s="73"/>
      <c r="O215" s="73"/>
      <c r="P215" s="73">
        <v>2842900</v>
      </c>
      <c r="Q215" s="73">
        <v>2842900</v>
      </c>
      <c r="R215" s="73">
        <v>2842900</v>
      </c>
      <c r="S215" s="73">
        <v>2842900</v>
      </c>
      <c r="T215" s="220">
        <v>2842900</v>
      </c>
      <c r="U215" s="220">
        <v>2842900</v>
      </c>
      <c r="V215" s="186"/>
    </row>
    <row r="216" spans="2:23" s="20" customFormat="1" ht="28.8" x14ac:dyDescent="0.3">
      <c r="B216" s="257">
        <v>34885</v>
      </c>
      <c r="C216" s="135" t="s">
        <v>256</v>
      </c>
      <c r="D216" s="46" t="s">
        <v>112</v>
      </c>
      <c r="E216" s="46" t="s">
        <v>113</v>
      </c>
      <c r="F216" s="46" t="s">
        <v>243</v>
      </c>
      <c r="G216" s="47">
        <v>20666625</v>
      </c>
      <c r="H216" s="74">
        <v>10</v>
      </c>
      <c r="I216" s="73">
        <v>66191105</v>
      </c>
      <c r="J216" s="55"/>
      <c r="K216" s="55"/>
      <c r="L216" s="73"/>
      <c r="M216" s="54"/>
      <c r="N216" s="73"/>
      <c r="O216" s="73"/>
      <c r="P216" s="73">
        <v>2066663</v>
      </c>
      <c r="Q216" s="73">
        <v>2066663</v>
      </c>
      <c r="R216" s="73">
        <v>2066663</v>
      </c>
      <c r="S216" s="73">
        <v>2066663</v>
      </c>
      <c r="T216" s="220">
        <v>2066663</v>
      </c>
      <c r="U216" s="220">
        <v>2066663</v>
      </c>
      <c r="V216" s="186"/>
    </row>
    <row r="217" spans="2:23" s="28" customFormat="1" x14ac:dyDescent="0.3">
      <c r="B217" s="258"/>
      <c r="C217" s="29" t="str">
        <f>CONCATENATE(COUNTA(C203:C216) &amp; " Projects")</f>
        <v>14 Projects</v>
      </c>
      <c r="D217" s="33"/>
      <c r="E217" s="33"/>
      <c r="F217" s="75"/>
      <c r="G217" s="76">
        <f>SUM(G203:G216)</f>
        <v>452620984</v>
      </c>
      <c r="H217" s="77"/>
      <c r="I217" s="76">
        <f t="shared" ref="I217:O217" si="8">SUM(I203:I216)</f>
        <v>1917651287</v>
      </c>
      <c r="J217" s="76">
        <f t="shared" si="8"/>
        <v>7660000</v>
      </c>
      <c r="K217" s="76">
        <f t="shared" si="8"/>
        <v>7660000</v>
      </c>
      <c r="L217" s="76">
        <f t="shared" si="8"/>
        <v>16014228</v>
      </c>
      <c r="M217" s="76">
        <f t="shared" si="8"/>
        <v>16014228</v>
      </c>
      <c r="N217" s="76">
        <f t="shared" si="8"/>
        <v>24529171</v>
      </c>
      <c r="O217" s="76">
        <f t="shared" si="8"/>
        <v>37052536</v>
      </c>
      <c r="P217" s="76">
        <f t="shared" ref="P217:U217" si="9">SUM(P203:P216)</f>
        <v>45262099</v>
      </c>
      <c r="Q217" s="76">
        <f t="shared" si="9"/>
        <v>45262099</v>
      </c>
      <c r="R217" s="76">
        <f t="shared" si="9"/>
        <v>45262099</v>
      </c>
      <c r="S217" s="76">
        <f t="shared" si="9"/>
        <v>45262099</v>
      </c>
      <c r="T217" s="76">
        <f t="shared" si="9"/>
        <v>37602099</v>
      </c>
      <c r="U217" s="76">
        <f t="shared" si="9"/>
        <v>37602099</v>
      </c>
      <c r="V217" s="206"/>
    </row>
    <row r="218" spans="2:23" s="28" customFormat="1" ht="83.4" customHeight="1" x14ac:dyDescent="0.3">
      <c r="B218" s="258"/>
      <c r="C218" s="216"/>
      <c r="D218" s="36"/>
      <c r="E218" s="36"/>
      <c r="F218" s="35"/>
      <c r="G218" s="78"/>
      <c r="H218" s="36"/>
      <c r="I218" s="79"/>
      <c r="J218" s="79"/>
      <c r="K218" s="80"/>
      <c r="L218" s="80"/>
      <c r="M218" s="80"/>
      <c r="N218" s="80"/>
      <c r="T218" s="40" t="s">
        <v>257</v>
      </c>
      <c r="U218" s="41">
        <f>SUM(L199,O199,R199,U199,X199,AA199,AD199,AG199, AJ199, AM199,AP199, AS199,J217:U217)</f>
        <v>800988148</v>
      </c>
      <c r="V218" s="56"/>
      <c r="W218" s="1"/>
    </row>
    <row r="219" spans="2:23" s="28" customFormat="1" ht="16.2" thickBot="1" x14ac:dyDescent="0.35">
      <c r="B219" s="258"/>
      <c r="C219" s="216"/>
      <c r="D219" s="36"/>
      <c r="E219" s="36"/>
      <c r="F219" s="35"/>
      <c r="G219" s="78"/>
      <c r="H219" s="36"/>
      <c r="I219" s="79"/>
      <c r="J219" s="79"/>
      <c r="K219" s="80"/>
      <c r="L219" s="80"/>
      <c r="M219" s="80"/>
      <c r="N219" s="80"/>
      <c r="O219" s="82"/>
      <c r="P219" s="83"/>
      <c r="S219" s="35"/>
      <c r="T219" s="35"/>
      <c r="U219" s="35"/>
      <c r="V219" s="56"/>
      <c r="W219" s="1"/>
    </row>
    <row r="220" spans="2:23" ht="18" customHeight="1" thickBot="1" x14ac:dyDescent="0.35">
      <c r="C220" s="284" t="s">
        <v>258</v>
      </c>
      <c r="D220" s="285"/>
      <c r="E220" s="285"/>
      <c r="F220" s="285"/>
      <c r="G220" s="285"/>
      <c r="H220" s="285"/>
      <c r="I220" s="285"/>
      <c r="J220" s="286"/>
      <c r="K220" s="67">
        <v>2014</v>
      </c>
      <c r="L220" s="67">
        <v>2015</v>
      </c>
      <c r="M220" s="67">
        <v>2016</v>
      </c>
      <c r="N220" s="67">
        <v>2017</v>
      </c>
      <c r="O220" s="67">
        <v>2018</v>
      </c>
      <c r="P220" s="67">
        <v>2019</v>
      </c>
      <c r="Q220" s="67">
        <v>2020</v>
      </c>
      <c r="R220" s="67">
        <v>2021</v>
      </c>
      <c r="S220" s="67">
        <v>2022</v>
      </c>
      <c r="T220" s="67">
        <v>2023</v>
      </c>
      <c r="U220" s="67">
        <v>2024</v>
      </c>
    </row>
    <row r="221" spans="2:23" s="8" customFormat="1" ht="70.5" customHeight="1" x14ac:dyDescent="0.3">
      <c r="B221" s="259"/>
      <c r="C221" s="84" t="s">
        <v>1</v>
      </c>
      <c r="D221" s="85" t="s">
        <v>2</v>
      </c>
      <c r="E221" s="85" t="s">
        <v>3</v>
      </c>
      <c r="F221" s="85" t="s">
        <v>4</v>
      </c>
      <c r="G221" s="85" t="s">
        <v>5</v>
      </c>
      <c r="H221" s="86" t="s">
        <v>6</v>
      </c>
      <c r="I221" s="158" t="s">
        <v>7</v>
      </c>
      <c r="J221" s="6" t="s">
        <v>8</v>
      </c>
      <c r="K221" s="87" t="s">
        <v>259</v>
      </c>
      <c r="L221" s="87" t="s">
        <v>259</v>
      </c>
      <c r="M221" s="87" t="s">
        <v>259</v>
      </c>
      <c r="N221" s="87" t="s">
        <v>259</v>
      </c>
      <c r="O221" s="87" t="s">
        <v>259</v>
      </c>
      <c r="P221" s="87" t="s">
        <v>259</v>
      </c>
      <c r="Q221" s="87" t="s">
        <v>259</v>
      </c>
      <c r="R221" s="87" t="s">
        <v>259</v>
      </c>
      <c r="S221" s="87" t="s">
        <v>259</v>
      </c>
      <c r="T221" s="87" t="s">
        <v>259</v>
      </c>
      <c r="U221" s="87" t="s">
        <v>259</v>
      </c>
    </row>
    <row r="222" spans="2:23" s="28" customFormat="1" ht="34.950000000000003" customHeight="1" x14ac:dyDescent="0.3">
      <c r="B222" s="257">
        <v>40087</v>
      </c>
      <c r="C222" s="125" t="s">
        <v>260</v>
      </c>
      <c r="D222" s="46" t="s">
        <v>261</v>
      </c>
      <c r="E222" s="46" t="s">
        <v>22</v>
      </c>
      <c r="F222" s="72" t="s">
        <v>262</v>
      </c>
      <c r="G222" s="47">
        <v>9590284</v>
      </c>
      <c r="H222" s="48">
        <v>20</v>
      </c>
      <c r="I222" s="94">
        <v>47951422</v>
      </c>
      <c r="J222" s="94">
        <v>50145187</v>
      </c>
      <c r="K222" s="90"/>
      <c r="L222" s="91"/>
      <c r="M222" s="91"/>
      <c r="N222" s="91">
        <v>204297</v>
      </c>
      <c r="O222" s="91">
        <v>671215</v>
      </c>
      <c r="P222" s="91">
        <v>873953</v>
      </c>
      <c r="Q222" s="91">
        <v>959658</v>
      </c>
      <c r="R222" s="91">
        <v>1170679</v>
      </c>
      <c r="S222" s="223">
        <v>1445705</v>
      </c>
      <c r="T222" s="223">
        <v>1387236</v>
      </c>
      <c r="U222" s="223">
        <v>1299259</v>
      </c>
      <c r="W222" s="1"/>
    </row>
    <row r="223" spans="2:23" s="28" customFormat="1" ht="31.2" x14ac:dyDescent="0.3">
      <c r="B223" s="257">
        <v>39301</v>
      </c>
      <c r="C223" s="58" t="s">
        <v>263</v>
      </c>
      <c r="D223" s="46" t="s">
        <v>203</v>
      </c>
      <c r="E223" s="46" t="s">
        <v>45</v>
      </c>
      <c r="F223" s="72" t="s">
        <v>262</v>
      </c>
      <c r="G223" s="47">
        <v>4794204</v>
      </c>
      <c r="H223" s="48">
        <v>20</v>
      </c>
      <c r="I223" s="94">
        <v>17043297</v>
      </c>
      <c r="J223" s="94">
        <v>16911354</v>
      </c>
      <c r="K223" s="90"/>
      <c r="L223" s="91"/>
      <c r="M223" s="91"/>
      <c r="N223" s="91"/>
      <c r="O223" s="91"/>
      <c r="P223" s="91">
        <v>115230</v>
      </c>
      <c r="Q223" s="91">
        <v>247981</v>
      </c>
      <c r="R223" s="91">
        <v>300747</v>
      </c>
      <c r="S223" s="223">
        <v>306841</v>
      </c>
      <c r="T223" s="223">
        <v>381000</v>
      </c>
      <c r="U223" s="223">
        <v>426102</v>
      </c>
      <c r="W223" s="1"/>
    </row>
    <row r="224" spans="2:23" s="28" customFormat="1" ht="33" customHeight="1" x14ac:dyDescent="0.3">
      <c r="B224" s="257">
        <v>39431</v>
      </c>
      <c r="C224" s="201" t="s">
        <v>264</v>
      </c>
      <c r="D224" s="46" t="s">
        <v>205</v>
      </c>
      <c r="E224" s="46" t="s">
        <v>92</v>
      </c>
      <c r="F224" s="72" t="s">
        <v>262</v>
      </c>
      <c r="G224" s="47">
        <v>4849075</v>
      </c>
      <c r="H224" s="48">
        <v>20</v>
      </c>
      <c r="I224" s="94">
        <v>33500000</v>
      </c>
      <c r="J224" s="94">
        <v>36238993</v>
      </c>
      <c r="K224" s="90"/>
      <c r="L224" s="91"/>
      <c r="M224" s="91"/>
      <c r="N224" s="91"/>
      <c r="O224" s="91"/>
      <c r="P224" s="91"/>
      <c r="Q224" s="91">
        <v>910720</v>
      </c>
      <c r="R224" s="91"/>
      <c r="S224" s="223">
        <v>165432</v>
      </c>
      <c r="T224" s="223">
        <v>61031</v>
      </c>
      <c r="U224" s="223"/>
      <c r="W224" s="1"/>
    </row>
    <row r="225" spans="2:23" s="28" customFormat="1" ht="33" customHeight="1" x14ac:dyDescent="0.3">
      <c r="B225" s="257">
        <v>44079</v>
      </c>
      <c r="C225" s="46" t="s">
        <v>364</v>
      </c>
      <c r="D225" s="46" t="s">
        <v>36</v>
      </c>
      <c r="E225" s="46" t="s">
        <v>36</v>
      </c>
      <c r="F225" s="72" t="s">
        <v>262</v>
      </c>
      <c r="G225" s="47">
        <v>18352709</v>
      </c>
      <c r="H225" s="48">
        <v>20</v>
      </c>
      <c r="I225" s="94">
        <v>49420453</v>
      </c>
      <c r="J225" s="94">
        <v>49468028</v>
      </c>
      <c r="K225" s="90"/>
      <c r="L225" s="91"/>
      <c r="M225" s="91"/>
      <c r="N225" s="91"/>
      <c r="O225" s="91"/>
      <c r="P225" s="91"/>
      <c r="Q225" s="91"/>
      <c r="R225" s="91"/>
      <c r="S225" s="223">
        <v>1067679</v>
      </c>
      <c r="T225" s="223">
        <v>742286</v>
      </c>
      <c r="U225" s="223">
        <v>885661</v>
      </c>
      <c r="W225" s="1"/>
    </row>
    <row r="226" spans="2:23" s="28" customFormat="1" ht="33" customHeight="1" x14ac:dyDescent="0.3">
      <c r="B226" s="257">
        <v>41412</v>
      </c>
      <c r="C226" s="46" t="s">
        <v>397</v>
      </c>
      <c r="D226" s="46" t="s">
        <v>398</v>
      </c>
      <c r="E226" s="46" t="s">
        <v>62</v>
      </c>
      <c r="F226" s="72" t="s">
        <v>262</v>
      </c>
      <c r="G226" s="47">
        <v>3601494</v>
      </c>
      <c r="H226" s="48">
        <v>20</v>
      </c>
      <c r="I226" s="94">
        <v>26277758</v>
      </c>
      <c r="J226" s="94">
        <v>22794265</v>
      </c>
      <c r="K226" s="90"/>
      <c r="L226" s="91"/>
      <c r="M226" s="91"/>
      <c r="N226" s="91"/>
      <c r="O226" s="91"/>
      <c r="P226" s="91"/>
      <c r="Q226" s="91"/>
      <c r="R226" s="91"/>
      <c r="S226" s="223"/>
      <c r="T226" s="223">
        <v>3596484</v>
      </c>
      <c r="U226" s="223"/>
      <c r="W226" s="1"/>
    </row>
    <row r="227" spans="2:23" s="28" customFormat="1" x14ac:dyDescent="0.3">
      <c r="B227" s="258"/>
      <c r="C227" s="29" t="str">
        <f>CONCATENATE(COUNTA(C222:C226) &amp; " Projects")</f>
        <v>5 Projects</v>
      </c>
      <c r="D227" s="33"/>
      <c r="E227" s="33"/>
      <c r="F227" s="92" t="s">
        <v>265</v>
      </c>
      <c r="G227" s="76">
        <f>SUM(G222:G226)</f>
        <v>41187766</v>
      </c>
      <c r="H227" s="77"/>
      <c r="I227" s="76">
        <f>SUM(I222:I226)</f>
        <v>174192930</v>
      </c>
      <c r="J227" s="76">
        <f>SUM(J222:J226)</f>
        <v>175557827</v>
      </c>
      <c r="K227" s="76"/>
      <c r="L227" s="76"/>
      <c r="M227" s="76"/>
      <c r="N227" s="76">
        <f>SUM(N222:N226)</f>
        <v>204297</v>
      </c>
      <c r="O227" s="76">
        <f t="shared" ref="O227:T227" si="10">SUM(O222:O226)</f>
        <v>671215</v>
      </c>
      <c r="P227" s="76">
        <f t="shared" si="10"/>
        <v>989183</v>
      </c>
      <c r="Q227" s="76">
        <f t="shared" si="10"/>
        <v>2118359</v>
      </c>
      <c r="R227" s="76">
        <f t="shared" si="10"/>
        <v>1471426</v>
      </c>
      <c r="S227" s="76">
        <f t="shared" si="10"/>
        <v>2985657</v>
      </c>
      <c r="T227" s="76">
        <f t="shared" si="10"/>
        <v>6168037</v>
      </c>
      <c r="U227" s="76">
        <f t="shared" ref="U227" si="11">SUM(U222:U226)</f>
        <v>2611022</v>
      </c>
      <c r="W227" s="1"/>
    </row>
    <row r="228" spans="2:23" s="28" customFormat="1" ht="61.95" customHeight="1" x14ac:dyDescent="0.3">
      <c r="B228" s="258"/>
      <c r="C228" s="216"/>
      <c r="D228" s="36"/>
      <c r="E228" s="36"/>
      <c r="F228" s="35"/>
      <c r="G228" s="78"/>
      <c r="H228" s="36"/>
      <c r="I228" s="79"/>
      <c r="J228" s="79"/>
      <c r="K228" s="80"/>
      <c r="L228" s="80"/>
      <c r="M228" s="80"/>
      <c r="T228" s="40" t="s">
        <v>266</v>
      </c>
      <c r="U228" s="81">
        <f>SUM(K227:U227)</f>
        <v>17219196</v>
      </c>
      <c r="W228" s="1"/>
    </row>
    <row r="229" spans="2:23" s="28" customFormat="1" ht="16.2" thickBot="1" x14ac:dyDescent="0.35">
      <c r="B229" s="258"/>
      <c r="C229" s="216"/>
      <c r="D229" s="36"/>
      <c r="E229" s="36"/>
      <c r="F229" s="35"/>
      <c r="G229" s="78"/>
      <c r="H229" s="36"/>
      <c r="I229" s="79"/>
      <c r="J229" s="79"/>
      <c r="K229" s="80"/>
      <c r="L229" s="80"/>
      <c r="M229" s="80"/>
      <c r="N229" s="80"/>
      <c r="O229" s="82"/>
      <c r="P229" s="83"/>
      <c r="S229" s="35"/>
      <c r="T229" s="35"/>
      <c r="U229" s="35"/>
      <c r="V229" s="56"/>
      <c r="W229" s="1"/>
    </row>
    <row r="230" spans="2:23" ht="19.2" customHeight="1" thickBot="1" x14ac:dyDescent="0.35">
      <c r="C230" s="284" t="s">
        <v>267</v>
      </c>
      <c r="D230" s="285"/>
      <c r="E230" s="285"/>
      <c r="F230" s="285"/>
      <c r="G230" s="285"/>
      <c r="H230" s="285"/>
      <c r="I230" s="286"/>
      <c r="J230" s="67">
        <v>2013</v>
      </c>
      <c r="K230" s="67">
        <v>2014</v>
      </c>
      <c r="L230" s="67">
        <v>2015</v>
      </c>
      <c r="M230" s="67">
        <v>2016</v>
      </c>
      <c r="N230" s="67">
        <v>2017</v>
      </c>
      <c r="O230" s="67">
        <v>2018</v>
      </c>
      <c r="P230" s="67">
        <v>2019</v>
      </c>
      <c r="Q230" s="67">
        <v>2020</v>
      </c>
      <c r="R230" s="67">
        <v>2021</v>
      </c>
      <c r="S230" s="67">
        <v>2022</v>
      </c>
      <c r="T230" s="67">
        <v>2023</v>
      </c>
      <c r="U230" s="67">
        <v>2024</v>
      </c>
      <c r="V230" s="1"/>
    </row>
    <row r="231" spans="2:23" s="8" customFormat="1" ht="84" customHeight="1" x14ac:dyDescent="0.3">
      <c r="B231" s="259"/>
      <c r="C231" s="69" t="s">
        <v>1</v>
      </c>
      <c r="D231" s="70" t="s">
        <v>2</v>
      </c>
      <c r="E231" s="70" t="s">
        <v>3</v>
      </c>
      <c r="F231" s="70" t="s">
        <v>4</v>
      </c>
      <c r="G231" s="183" t="s">
        <v>5</v>
      </c>
      <c r="H231" s="184" t="s">
        <v>6</v>
      </c>
      <c r="I231" s="185" t="s">
        <v>8</v>
      </c>
      <c r="J231" s="87" t="s">
        <v>259</v>
      </c>
      <c r="K231" s="87" t="s">
        <v>259</v>
      </c>
      <c r="L231" s="87" t="s">
        <v>259</v>
      </c>
      <c r="M231" s="87" t="s">
        <v>259</v>
      </c>
      <c r="N231" s="87" t="s">
        <v>259</v>
      </c>
      <c r="O231" s="87" t="s">
        <v>259</v>
      </c>
      <c r="P231" s="87" t="s">
        <v>259</v>
      </c>
      <c r="Q231" s="87" t="s">
        <v>259</v>
      </c>
      <c r="R231" s="87" t="s">
        <v>259</v>
      </c>
      <c r="S231" s="87" t="s">
        <v>259</v>
      </c>
      <c r="T231" s="87" t="s">
        <v>259</v>
      </c>
      <c r="U231" s="87" t="s">
        <v>259</v>
      </c>
    </row>
    <row r="232" spans="2:23" ht="31.2" customHeight="1" x14ac:dyDescent="0.3">
      <c r="B232" s="256">
        <v>34888</v>
      </c>
      <c r="C232" s="198" t="s">
        <v>268</v>
      </c>
      <c r="D232" s="46" t="s">
        <v>269</v>
      </c>
      <c r="E232" s="46" t="s">
        <v>144</v>
      </c>
      <c r="F232" s="46" t="s">
        <v>265</v>
      </c>
      <c r="G232" s="47">
        <v>4980448</v>
      </c>
      <c r="H232" s="48">
        <v>20</v>
      </c>
      <c r="I232" s="190">
        <v>24902241</v>
      </c>
      <c r="J232" s="90">
        <v>555738</v>
      </c>
      <c r="K232" s="90">
        <v>520642</v>
      </c>
      <c r="L232" s="91">
        <v>455221</v>
      </c>
      <c r="M232" s="91">
        <v>503508</v>
      </c>
      <c r="N232" s="91">
        <v>511979</v>
      </c>
      <c r="O232" s="91">
        <v>501176</v>
      </c>
      <c r="P232" s="91">
        <v>492221</v>
      </c>
      <c r="Q232" s="91">
        <v>525462</v>
      </c>
      <c r="R232" s="91">
        <v>528413</v>
      </c>
      <c r="S232" s="91">
        <v>336089</v>
      </c>
      <c r="T232" s="91"/>
      <c r="U232" s="91"/>
      <c r="V232" s="1"/>
    </row>
    <row r="233" spans="2:23" ht="31.2" customHeight="1" x14ac:dyDescent="0.3">
      <c r="B233" s="256">
        <v>36829</v>
      </c>
      <c r="C233" s="127" t="s">
        <v>270</v>
      </c>
      <c r="D233" s="46" t="s">
        <v>271</v>
      </c>
      <c r="E233" s="46" t="s">
        <v>22</v>
      </c>
      <c r="F233" s="46" t="s">
        <v>265</v>
      </c>
      <c r="G233" s="47">
        <v>8893049</v>
      </c>
      <c r="H233" s="48">
        <v>20</v>
      </c>
      <c r="I233" s="190">
        <v>57164286</v>
      </c>
      <c r="J233" s="189"/>
      <c r="K233" s="90">
        <v>275951</v>
      </c>
      <c r="L233" s="90"/>
      <c r="M233" s="90"/>
      <c r="N233" s="90"/>
      <c r="O233" s="90"/>
      <c r="P233" s="90"/>
      <c r="Q233" s="90"/>
      <c r="R233" s="90"/>
      <c r="S233" s="90"/>
      <c r="T233" s="90"/>
      <c r="U233" s="90"/>
      <c r="V233" s="1"/>
    </row>
    <row r="234" spans="2:23" ht="31.2" customHeight="1" x14ac:dyDescent="0.3">
      <c r="B234" s="256">
        <v>37644</v>
      </c>
      <c r="C234" s="127" t="s">
        <v>272</v>
      </c>
      <c r="D234" s="46" t="s">
        <v>205</v>
      </c>
      <c r="E234" s="46" t="s">
        <v>92</v>
      </c>
      <c r="F234" s="46" t="s">
        <v>265</v>
      </c>
      <c r="G234" s="47">
        <v>5055556</v>
      </c>
      <c r="H234" s="48">
        <v>20</v>
      </c>
      <c r="I234" s="190">
        <v>41660312</v>
      </c>
      <c r="J234" s="189"/>
      <c r="K234" s="90">
        <v>1253964</v>
      </c>
      <c r="L234" s="66">
        <v>1112678</v>
      </c>
      <c r="M234" s="66">
        <v>934863</v>
      </c>
      <c r="N234" s="66">
        <v>1220443</v>
      </c>
      <c r="O234" s="66">
        <v>508635</v>
      </c>
      <c r="P234" s="66"/>
      <c r="Q234" s="66"/>
      <c r="R234" s="66"/>
      <c r="S234" s="66"/>
      <c r="T234" s="66"/>
      <c r="U234" s="66"/>
      <c r="V234" s="1"/>
    </row>
    <row r="235" spans="2:23" ht="31.2" x14ac:dyDescent="0.3">
      <c r="B235" s="256">
        <v>37296</v>
      </c>
      <c r="C235" s="127" t="s">
        <v>273</v>
      </c>
      <c r="D235" s="46" t="s">
        <v>274</v>
      </c>
      <c r="E235" s="46" t="s">
        <v>22</v>
      </c>
      <c r="F235" s="46" t="s">
        <v>265</v>
      </c>
      <c r="G235" s="47">
        <v>7250987</v>
      </c>
      <c r="H235" s="48">
        <v>20</v>
      </c>
      <c r="I235" s="190">
        <v>36455785</v>
      </c>
      <c r="J235" s="189"/>
      <c r="K235" s="189"/>
      <c r="L235" s="66">
        <v>490041</v>
      </c>
      <c r="M235" s="66">
        <v>525454</v>
      </c>
      <c r="N235" s="66">
        <v>552079</v>
      </c>
      <c r="O235" s="66">
        <v>734588.28</v>
      </c>
      <c r="P235" s="66"/>
      <c r="Q235" s="66">
        <v>909120</v>
      </c>
      <c r="R235" s="66">
        <v>372098</v>
      </c>
      <c r="S235" s="66">
        <v>518615</v>
      </c>
      <c r="T235" s="238"/>
      <c r="U235" s="238">
        <v>685930</v>
      </c>
      <c r="V235" s="1"/>
    </row>
    <row r="236" spans="2:23" ht="31.2" x14ac:dyDescent="0.3">
      <c r="B236" s="256">
        <v>35672</v>
      </c>
      <c r="C236" s="127" t="s">
        <v>275</v>
      </c>
      <c r="D236" s="46" t="s">
        <v>203</v>
      </c>
      <c r="E236" s="46" t="s">
        <v>45</v>
      </c>
      <c r="F236" s="46" t="s">
        <v>265</v>
      </c>
      <c r="G236" s="47">
        <v>7961200</v>
      </c>
      <c r="H236" s="48">
        <v>20</v>
      </c>
      <c r="I236" s="190">
        <v>39845362</v>
      </c>
      <c r="J236" s="189"/>
      <c r="K236" s="189"/>
      <c r="L236" s="66">
        <v>614525</v>
      </c>
      <c r="M236" s="66">
        <v>514850</v>
      </c>
      <c r="N236" s="66">
        <v>551141</v>
      </c>
      <c r="O236" s="66">
        <v>389096</v>
      </c>
      <c r="P236" s="66"/>
      <c r="Q236" s="66">
        <v>586425</v>
      </c>
      <c r="R236" s="66">
        <v>249270</v>
      </c>
      <c r="S236" s="66">
        <v>342100</v>
      </c>
      <c r="T236" s="238">
        <v>444579</v>
      </c>
      <c r="U236" s="238">
        <v>483355</v>
      </c>
      <c r="V236" s="1"/>
    </row>
    <row r="237" spans="2:23" ht="31.95" customHeight="1" x14ac:dyDescent="0.3">
      <c r="B237" s="256">
        <v>37382</v>
      </c>
      <c r="C237" s="127" t="s">
        <v>276</v>
      </c>
      <c r="D237" s="46" t="s">
        <v>112</v>
      </c>
      <c r="E237" s="46" t="s">
        <v>113</v>
      </c>
      <c r="F237" s="46" t="s">
        <v>265</v>
      </c>
      <c r="G237" s="47">
        <v>5640161</v>
      </c>
      <c r="H237" s="48">
        <v>20</v>
      </c>
      <c r="I237" s="190">
        <v>34927978</v>
      </c>
      <c r="J237" s="189"/>
      <c r="K237" s="189"/>
      <c r="L237" s="66">
        <v>504246.51</v>
      </c>
      <c r="M237" s="66">
        <v>418782</v>
      </c>
      <c r="N237" s="66">
        <v>384031</v>
      </c>
      <c r="O237" s="66">
        <v>421842</v>
      </c>
      <c r="P237" s="66">
        <v>394461</v>
      </c>
      <c r="Q237" s="66">
        <v>505180</v>
      </c>
      <c r="R237" s="66">
        <v>259307</v>
      </c>
      <c r="S237" s="66">
        <v>262214</v>
      </c>
      <c r="T237" s="238">
        <v>356548</v>
      </c>
      <c r="U237" s="238">
        <v>456815</v>
      </c>
      <c r="V237" s="1"/>
    </row>
    <row r="238" spans="2:23" ht="31.2" x14ac:dyDescent="0.3">
      <c r="B238" s="256">
        <v>37508</v>
      </c>
      <c r="C238" s="127" t="s">
        <v>277</v>
      </c>
      <c r="D238" s="46" t="s">
        <v>112</v>
      </c>
      <c r="E238" s="46" t="s">
        <v>113</v>
      </c>
      <c r="F238" s="46" t="s">
        <v>265</v>
      </c>
      <c r="G238" s="47">
        <v>6056362</v>
      </c>
      <c r="H238" s="48">
        <v>20</v>
      </c>
      <c r="I238" s="190">
        <v>30281811</v>
      </c>
      <c r="J238" s="189"/>
      <c r="K238" s="189"/>
      <c r="L238" s="66">
        <v>802106</v>
      </c>
      <c r="M238" s="66">
        <v>417087</v>
      </c>
      <c r="N238" s="66">
        <v>431215</v>
      </c>
      <c r="O238" s="66"/>
      <c r="P238" s="66"/>
      <c r="Q238" s="66"/>
      <c r="R238" s="66">
        <v>1244186</v>
      </c>
      <c r="S238" s="66">
        <v>179949</v>
      </c>
      <c r="T238" s="238">
        <v>326728</v>
      </c>
      <c r="U238" s="238">
        <v>361676</v>
      </c>
      <c r="V238" s="1"/>
    </row>
    <row r="239" spans="2:23" ht="33" customHeight="1" x14ac:dyDescent="0.3">
      <c r="B239" s="256">
        <v>34887</v>
      </c>
      <c r="C239" s="127" t="s">
        <v>278</v>
      </c>
      <c r="D239" s="46" t="s">
        <v>112</v>
      </c>
      <c r="E239" s="46" t="s">
        <v>113</v>
      </c>
      <c r="F239" s="46" t="s">
        <v>265</v>
      </c>
      <c r="G239" s="47">
        <v>4700238</v>
      </c>
      <c r="H239" s="48">
        <v>20</v>
      </c>
      <c r="I239" s="190">
        <v>26704057</v>
      </c>
      <c r="J239" s="189"/>
      <c r="K239" s="189"/>
      <c r="L239" s="66"/>
      <c r="M239" s="66">
        <v>216547</v>
      </c>
      <c r="N239" s="66">
        <v>210535</v>
      </c>
      <c r="O239" s="66"/>
      <c r="P239" s="66">
        <v>205497</v>
      </c>
      <c r="Q239" s="66">
        <v>224580</v>
      </c>
      <c r="R239" s="66"/>
      <c r="S239" s="66"/>
      <c r="T239" s="238"/>
      <c r="U239" s="238"/>
      <c r="V239" s="1"/>
    </row>
    <row r="240" spans="2:23" ht="46.8" x14ac:dyDescent="0.3">
      <c r="B240" s="256">
        <v>37954</v>
      </c>
      <c r="C240" s="126" t="s">
        <v>249</v>
      </c>
      <c r="D240" s="46" t="s">
        <v>112</v>
      </c>
      <c r="E240" s="46" t="s">
        <v>113</v>
      </c>
      <c r="F240" s="46" t="s">
        <v>265</v>
      </c>
      <c r="G240" s="47">
        <v>8358889</v>
      </c>
      <c r="H240" s="48">
        <v>20</v>
      </c>
      <c r="I240" s="190">
        <v>41851165</v>
      </c>
      <c r="J240" s="189"/>
      <c r="K240" s="189"/>
      <c r="L240" s="66"/>
      <c r="M240" s="66"/>
      <c r="N240" s="66">
        <v>322953</v>
      </c>
      <c r="O240" s="66"/>
      <c r="P240" s="66"/>
      <c r="Q240" s="66">
        <v>1054372</v>
      </c>
      <c r="R240" s="66">
        <v>279647</v>
      </c>
      <c r="S240" s="66">
        <v>325952</v>
      </c>
      <c r="T240" s="238">
        <v>299107</v>
      </c>
      <c r="U240" s="238">
        <v>282806</v>
      </c>
      <c r="V240" s="1"/>
    </row>
    <row r="241" spans="2:23" ht="31.2" x14ac:dyDescent="0.3">
      <c r="B241" s="256">
        <v>37782</v>
      </c>
      <c r="C241" s="130" t="s">
        <v>279</v>
      </c>
      <c r="D241" s="46" t="s">
        <v>205</v>
      </c>
      <c r="E241" s="46" t="s">
        <v>92</v>
      </c>
      <c r="F241" s="46" t="s">
        <v>265</v>
      </c>
      <c r="G241" s="47">
        <v>22943880</v>
      </c>
      <c r="H241" s="48">
        <v>20</v>
      </c>
      <c r="I241" s="190">
        <v>126273420</v>
      </c>
      <c r="J241" s="189"/>
      <c r="K241" s="189"/>
      <c r="L241" s="66"/>
      <c r="M241" s="66"/>
      <c r="N241" s="66">
        <v>1000260</v>
      </c>
      <c r="O241" s="66"/>
      <c r="P241" s="66">
        <v>1085734</v>
      </c>
      <c r="Q241" s="66">
        <v>590493</v>
      </c>
      <c r="R241" s="66">
        <v>147726</v>
      </c>
      <c r="S241" s="66">
        <v>224411</v>
      </c>
      <c r="T241" s="238">
        <v>351345</v>
      </c>
      <c r="U241" s="238">
        <v>365465</v>
      </c>
      <c r="V241" s="1"/>
    </row>
    <row r="242" spans="2:23" s="120" customFormat="1" ht="30" customHeight="1" x14ac:dyDescent="0.3">
      <c r="B242" s="260">
        <v>37441</v>
      </c>
      <c r="C242" s="58" t="s">
        <v>280</v>
      </c>
      <c r="D242" s="46" t="s">
        <v>281</v>
      </c>
      <c r="E242" s="46" t="s">
        <v>17</v>
      </c>
      <c r="F242" s="46" t="s">
        <v>265</v>
      </c>
      <c r="G242" s="47">
        <v>10636483</v>
      </c>
      <c r="H242" s="48">
        <v>20</v>
      </c>
      <c r="I242" s="194">
        <v>53470554</v>
      </c>
      <c r="J242" s="189"/>
      <c r="K242" s="189"/>
      <c r="L242" s="66"/>
      <c r="M242" s="66"/>
      <c r="N242" s="66"/>
      <c r="O242" s="66">
        <v>1665847</v>
      </c>
      <c r="P242" s="66"/>
      <c r="Q242" s="66">
        <v>889184</v>
      </c>
      <c r="R242" s="66">
        <v>297476</v>
      </c>
      <c r="S242" s="66">
        <v>445897</v>
      </c>
      <c r="T242" s="66"/>
      <c r="U242" s="238">
        <v>531492</v>
      </c>
    </row>
    <row r="243" spans="2:23" ht="31.2" x14ac:dyDescent="0.3">
      <c r="B243" s="256">
        <v>37626</v>
      </c>
      <c r="C243" s="58" t="s">
        <v>282</v>
      </c>
      <c r="D243" s="195" t="s">
        <v>283</v>
      </c>
      <c r="E243" s="195" t="s">
        <v>30</v>
      </c>
      <c r="F243" s="46" t="s">
        <v>265</v>
      </c>
      <c r="G243" s="191">
        <v>18771345</v>
      </c>
      <c r="H243" s="48">
        <v>20</v>
      </c>
      <c r="I243" s="190">
        <v>43976389</v>
      </c>
      <c r="J243" s="189"/>
      <c r="K243" s="189"/>
      <c r="L243" s="66"/>
      <c r="M243" s="66"/>
      <c r="N243" s="66"/>
      <c r="O243" s="66">
        <v>7580392</v>
      </c>
      <c r="P243" s="66"/>
      <c r="Q243" s="66">
        <v>6670696</v>
      </c>
      <c r="R243" s="66">
        <v>4505257</v>
      </c>
      <c r="S243" s="66"/>
      <c r="T243" s="66"/>
      <c r="U243" s="66"/>
      <c r="V243" s="1"/>
    </row>
    <row r="244" spans="2:23" x14ac:dyDescent="0.3">
      <c r="B244" s="256">
        <v>37797</v>
      </c>
      <c r="C244" s="195" t="s">
        <v>284</v>
      </c>
      <c r="D244" s="195" t="s">
        <v>285</v>
      </c>
      <c r="E244" s="195" t="s">
        <v>68</v>
      </c>
      <c r="F244" s="46" t="s">
        <v>265</v>
      </c>
      <c r="G244" s="191">
        <v>9655151</v>
      </c>
      <c r="H244" s="48">
        <v>20</v>
      </c>
      <c r="I244" s="190">
        <v>402079734</v>
      </c>
      <c r="J244" s="189"/>
      <c r="K244" s="189"/>
      <c r="L244" s="66"/>
      <c r="M244" s="66"/>
      <c r="N244" s="66"/>
      <c r="O244" s="66"/>
      <c r="P244" s="66"/>
      <c r="Q244" s="66"/>
      <c r="R244" s="66"/>
      <c r="S244" s="66">
        <v>9650151</v>
      </c>
      <c r="T244" s="66"/>
      <c r="U244" s="66"/>
      <c r="V244" s="1"/>
    </row>
    <row r="245" spans="2:23" x14ac:dyDescent="0.3">
      <c r="C245" s="95" t="str">
        <f>CONCATENATE(COUNTA(C232:C244) &amp; " Projects")</f>
        <v>13 Projects</v>
      </c>
      <c r="D245" s="96"/>
      <c r="E245" s="96"/>
      <c r="F245" s="96"/>
      <c r="G245" s="97">
        <f>SUM(G232:G244)</f>
        <v>120903749</v>
      </c>
      <c r="H245" s="96"/>
      <c r="I245" s="97">
        <f>SUM(I232:I244)</f>
        <v>959593094</v>
      </c>
      <c r="J245" s="97">
        <f>SUM(J232:J244)</f>
        <v>555738</v>
      </c>
      <c r="K245" s="97">
        <f t="shared" ref="K245:R245" si="12">SUM(K232:K244)</f>
        <v>2050557</v>
      </c>
      <c r="L245" s="97">
        <f t="shared" si="12"/>
        <v>3978817.51</v>
      </c>
      <c r="M245" s="97">
        <f t="shared" si="12"/>
        <v>3531091</v>
      </c>
      <c r="N245" s="97">
        <f t="shared" si="12"/>
        <v>5184636</v>
      </c>
      <c r="O245" s="97">
        <f t="shared" si="12"/>
        <v>11801576.280000001</v>
      </c>
      <c r="P245" s="97">
        <f t="shared" si="12"/>
        <v>2177913</v>
      </c>
      <c r="Q245" s="97">
        <f t="shared" si="12"/>
        <v>11955512</v>
      </c>
      <c r="R245" s="97">
        <f t="shared" si="12"/>
        <v>7883380</v>
      </c>
      <c r="S245" s="97">
        <f t="shared" ref="S245:T245" si="13">SUM(S232:S244)</f>
        <v>12285378</v>
      </c>
      <c r="T245" s="97">
        <f t="shared" si="13"/>
        <v>1778307</v>
      </c>
      <c r="U245" s="97">
        <f t="shared" ref="U245" si="14">SUM(U232:U244)</f>
        <v>3167539</v>
      </c>
      <c r="V245" s="1"/>
    </row>
    <row r="246" spans="2:23" ht="62.4" x14ac:dyDescent="0.3">
      <c r="C246" s="8"/>
      <c r="D246" s="7"/>
      <c r="E246" s="7"/>
      <c r="F246" s="7"/>
      <c r="G246" s="98"/>
      <c r="H246" s="7"/>
      <c r="I246" s="99"/>
      <c r="J246" s="99"/>
      <c r="K246" s="98"/>
      <c r="L246" s="98"/>
      <c r="M246" s="98"/>
      <c r="N246" s="153"/>
      <c r="O246" s="1"/>
      <c r="P246" s="1"/>
      <c r="Q246" s="1"/>
      <c r="T246" s="40" t="s">
        <v>266</v>
      </c>
      <c r="U246" s="81">
        <f>SUM(J245:U245)</f>
        <v>66350444.789999999</v>
      </c>
      <c r="V246" s="104"/>
      <c r="W246" s="104"/>
    </row>
    <row r="247" spans="2:23" ht="16.2" thickBot="1" x14ac:dyDescent="0.35">
      <c r="C247" s="8"/>
      <c r="D247" s="7"/>
      <c r="E247" s="7"/>
      <c r="F247" s="7"/>
      <c r="G247" s="98"/>
      <c r="H247" s="7"/>
      <c r="I247" s="99"/>
      <c r="J247" s="99"/>
      <c r="K247" s="98"/>
      <c r="L247" s="98"/>
      <c r="M247" s="98"/>
      <c r="N247" s="98"/>
      <c r="O247" s="98"/>
      <c r="P247" s="2"/>
    </row>
    <row r="248" spans="2:23" ht="16.2" thickBot="1" x14ac:dyDescent="0.35">
      <c r="C248" s="284" t="s">
        <v>286</v>
      </c>
      <c r="D248" s="285"/>
      <c r="E248" s="285"/>
      <c r="F248" s="285"/>
      <c r="G248" s="285"/>
      <c r="H248" s="285"/>
      <c r="I248" s="285"/>
      <c r="J248" s="286"/>
      <c r="K248" s="67">
        <v>2013</v>
      </c>
      <c r="L248" s="67">
        <v>2014</v>
      </c>
      <c r="M248" s="67">
        <v>2015</v>
      </c>
      <c r="N248" s="67">
        <v>2016</v>
      </c>
      <c r="O248" s="67">
        <v>2017</v>
      </c>
      <c r="P248" s="67">
        <v>2018</v>
      </c>
      <c r="Q248" s="67">
        <v>2019</v>
      </c>
      <c r="R248" s="67">
        <v>2020</v>
      </c>
      <c r="S248" s="218">
        <v>2021</v>
      </c>
      <c r="T248" s="218">
        <v>2022</v>
      </c>
      <c r="U248" s="218">
        <v>2023</v>
      </c>
      <c r="V248" s="1"/>
    </row>
    <row r="249" spans="2:23" s="8" customFormat="1" ht="85.5" customHeight="1" x14ac:dyDescent="0.3">
      <c r="B249" s="259"/>
      <c r="C249" s="69" t="s">
        <v>1</v>
      </c>
      <c r="D249" s="70" t="s">
        <v>2</v>
      </c>
      <c r="E249" s="70" t="s">
        <v>3</v>
      </c>
      <c r="F249" s="70" t="s">
        <v>4</v>
      </c>
      <c r="G249" s="155" t="s">
        <v>5</v>
      </c>
      <c r="H249" s="133" t="s">
        <v>6</v>
      </c>
      <c r="I249" s="133" t="s">
        <v>7</v>
      </c>
      <c r="J249" s="134" t="s">
        <v>8</v>
      </c>
      <c r="K249" s="131" t="s">
        <v>259</v>
      </c>
      <c r="L249" s="131" t="s">
        <v>259</v>
      </c>
      <c r="M249" s="131" t="s">
        <v>259</v>
      </c>
      <c r="N249" s="131" t="s">
        <v>259</v>
      </c>
      <c r="O249" s="131" t="s">
        <v>259</v>
      </c>
      <c r="P249" s="131" t="s">
        <v>259</v>
      </c>
      <c r="Q249" s="131" t="s">
        <v>259</v>
      </c>
      <c r="R249" s="131" t="s">
        <v>259</v>
      </c>
      <c r="S249" s="131" t="s">
        <v>259</v>
      </c>
      <c r="T249" s="131" t="s">
        <v>259</v>
      </c>
      <c r="U249" s="131" t="s">
        <v>259</v>
      </c>
    </row>
    <row r="250" spans="2:23" s="2" customFormat="1" x14ac:dyDescent="0.3">
      <c r="B250" s="261">
        <v>38768</v>
      </c>
      <c r="C250" s="45" t="s">
        <v>287</v>
      </c>
      <c r="D250" s="46" t="s">
        <v>36</v>
      </c>
      <c r="E250" s="46" t="s">
        <v>36</v>
      </c>
      <c r="F250" s="46" t="s">
        <v>288</v>
      </c>
      <c r="G250" s="47">
        <v>13491661</v>
      </c>
      <c r="H250" s="48">
        <v>20</v>
      </c>
      <c r="I250" s="88">
        <v>38405727</v>
      </c>
      <c r="J250" s="88">
        <v>39583824</v>
      </c>
      <c r="K250" s="23">
        <v>0</v>
      </c>
      <c r="L250" s="23">
        <v>0</v>
      </c>
      <c r="M250" s="89">
        <v>1349166</v>
      </c>
      <c r="N250" s="89">
        <v>1349166</v>
      </c>
      <c r="O250" s="89">
        <v>1349166</v>
      </c>
      <c r="P250" s="90">
        <v>1349166</v>
      </c>
      <c r="Q250" s="90">
        <v>1349166</v>
      </c>
      <c r="R250" s="90">
        <v>1349166</v>
      </c>
      <c r="S250" s="247">
        <v>1349166</v>
      </c>
      <c r="T250" s="247">
        <v>1349166</v>
      </c>
      <c r="U250" s="247">
        <v>1349166</v>
      </c>
      <c r="V250" s="267"/>
    </row>
    <row r="251" spans="2:23" s="2" customFormat="1" ht="46.8" x14ac:dyDescent="0.3">
      <c r="B251" s="261">
        <v>38859</v>
      </c>
      <c r="C251" s="45" t="s">
        <v>289</v>
      </c>
      <c r="D251" s="46" t="s">
        <v>112</v>
      </c>
      <c r="E251" s="46" t="s">
        <v>113</v>
      </c>
      <c r="F251" s="46" t="s">
        <v>288</v>
      </c>
      <c r="G251" s="47">
        <v>23142465</v>
      </c>
      <c r="H251" s="48">
        <v>20</v>
      </c>
      <c r="I251" s="94">
        <v>77141550</v>
      </c>
      <c r="J251" s="94">
        <v>88177264</v>
      </c>
      <c r="K251" s="23">
        <v>0</v>
      </c>
      <c r="L251" s="23">
        <v>0</v>
      </c>
      <c r="M251" s="90">
        <v>2314247</v>
      </c>
      <c r="N251" s="90">
        <v>2314247</v>
      </c>
      <c r="O251" s="90">
        <v>2314247</v>
      </c>
      <c r="P251" s="90">
        <v>2314247</v>
      </c>
      <c r="Q251" s="90">
        <v>2314247</v>
      </c>
      <c r="R251" s="90">
        <v>2314247</v>
      </c>
      <c r="S251" s="247">
        <v>2314247</v>
      </c>
      <c r="T251" s="247">
        <v>2314247</v>
      </c>
      <c r="U251" s="247">
        <v>2314247</v>
      </c>
      <c r="V251" s="217"/>
    </row>
    <row r="252" spans="2:23" s="2" customFormat="1" x14ac:dyDescent="0.3">
      <c r="B252" s="261">
        <v>38868</v>
      </c>
      <c r="C252" s="58" t="s">
        <v>290</v>
      </c>
      <c r="D252" s="46" t="s">
        <v>291</v>
      </c>
      <c r="E252" s="46" t="s">
        <v>33</v>
      </c>
      <c r="F252" s="46" t="s">
        <v>288</v>
      </c>
      <c r="G252" s="47">
        <v>15767702</v>
      </c>
      <c r="H252" s="48">
        <v>20</v>
      </c>
      <c r="I252" s="94">
        <v>78838509</v>
      </c>
      <c r="J252" s="94">
        <v>79419971</v>
      </c>
      <c r="K252" s="23"/>
      <c r="L252" s="23"/>
      <c r="M252" s="90"/>
      <c r="N252" s="90">
        <v>1576770</v>
      </c>
      <c r="O252" s="90">
        <v>1576770</v>
      </c>
      <c r="P252" s="90">
        <v>1576770</v>
      </c>
      <c r="Q252" s="90">
        <v>1576770</v>
      </c>
      <c r="R252" s="90">
        <v>1576770</v>
      </c>
      <c r="S252" s="247">
        <v>1576770</v>
      </c>
      <c r="T252" s="247">
        <v>1576770</v>
      </c>
      <c r="U252" s="247">
        <v>1576770</v>
      </c>
      <c r="V252" s="217"/>
    </row>
    <row r="253" spans="2:23" s="2" customFormat="1" ht="31.2" x14ac:dyDescent="0.3">
      <c r="B253" s="261">
        <v>38966</v>
      </c>
      <c r="C253" s="58" t="s">
        <v>292</v>
      </c>
      <c r="D253" s="46" t="s">
        <v>96</v>
      </c>
      <c r="E253" s="46" t="s">
        <v>97</v>
      </c>
      <c r="F253" s="46" t="s">
        <v>288</v>
      </c>
      <c r="G253" s="47">
        <v>22045806</v>
      </c>
      <c r="H253" s="48">
        <v>20</v>
      </c>
      <c r="I253" s="94">
        <v>73486021</v>
      </c>
      <c r="J253" s="94">
        <v>73495917</v>
      </c>
      <c r="K253" s="23"/>
      <c r="L253" s="23"/>
      <c r="M253" s="90"/>
      <c r="N253" s="90">
        <v>2204581</v>
      </c>
      <c r="O253" s="90">
        <v>2204581</v>
      </c>
      <c r="P253" s="90">
        <v>2204581</v>
      </c>
      <c r="Q253" s="90">
        <v>2204581</v>
      </c>
      <c r="R253" s="90">
        <v>2204581</v>
      </c>
      <c r="S253" s="247">
        <v>2204581</v>
      </c>
      <c r="T253" s="247">
        <v>2204581</v>
      </c>
      <c r="U253" s="247">
        <v>2204581</v>
      </c>
      <c r="V253" s="217"/>
    </row>
    <row r="254" spans="2:23" s="2" customFormat="1" ht="31.2" x14ac:dyDescent="0.3">
      <c r="B254" s="261">
        <v>38768</v>
      </c>
      <c r="C254" s="58" t="s">
        <v>293</v>
      </c>
      <c r="D254" s="46" t="s">
        <v>36</v>
      </c>
      <c r="E254" s="46" t="s">
        <v>36</v>
      </c>
      <c r="F254" s="46" t="s">
        <v>288</v>
      </c>
      <c r="G254" s="47">
        <v>2655861</v>
      </c>
      <c r="H254" s="48">
        <v>20</v>
      </c>
      <c r="I254" s="94">
        <v>7030684</v>
      </c>
      <c r="J254" s="94">
        <v>7030684</v>
      </c>
      <c r="K254" s="23"/>
      <c r="L254" s="23"/>
      <c r="M254" s="90"/>
      <c r="N254" s="90">
        <v>265586</v>
      </c>
      <c r="O254" s="90">
        <v>265586</v>
      </c>
      <c r="P254" s="90">
        <v>265586</v>
      </c>
      <c r="Q254" s="90">
        <v>265586</v>
      </c>
      <c r="R254" s="90">
        <v>265586</v>
      </c>
      <c r="S254" s="247">
        <v>265586</v>
      </c>
      <c r="T254" s="247">
        <v>265586</v>
      </c>
      <c r="U254" s="247">
        <v>265586</v>
      </c>
      <c r="V254" s="217"/>
    </row>
    <row r="255" spans="2:23" s="2" customFormat="1" ht="31.2" x14ac:dyDescent="0.3">
      <c r="B255" s="261">
        <v>39374</v>
      </c>
      <c r="C255" s="58" t="s">
        <v>294</v>
      </c>
      <c r="D255" s="46" t="s">
        <v>36</v>
      </c>
      <c r="E255" s="46" t="s">
        <v>36</v>
      </c>
      <c r="F255" s="46" t="s">
        <v>288</v>
      </c>
      <c r="G255" s="47">
        <v>3464029</v>
      </c>
      <c r="H255" s="48">
        <v>20</v>
      </c>
      <c r="I255" s="94">
        <v>8812831</v>
      </c>
      <c r="J255" s="94">
        <v>8853468</v>
      </c>
      <c r="K255" s="23"/>
      <c r="L255" s="23"/>
      <c r="M255" s="90"/>
      <c r="N255" s="90">
        <v>346403</v>
      </c>
      <c r="O255" s="90">
        <v>346403</v>
      </c>
      <c r="P255" s="90">
        <v>346403</v>
      </c>
      <c r="Q255" s="90">
        <v>346403</v>
      </c>
      <c r="R255" s="90">
        <v>346403</v>
      </c>
      <c r="S255" s="247">
        <v>346403</v>
      </c>
      <c r="T255" s="247">
        <v>346403</v>
      </c>
      <c r="U255" s="247">
        <v>346403</v>
      </c>
      <c r="V255" s="217"/>
    </row>
    <row r="256" spans="2:23" s="2" customFormat="1" x14ac:dyDescent="0.3">
      <c r="B256" s="261">
        <v>39273</v>
      </c>
      <c r="C256" s="135" t="s">
        <v>295</v>
      </c>
      <c r="D256" s="46" t="s">
        <v>205</v>
      </c>
      <c r="E256" s="46" t="s">
        <v>92</v>
      </c>
      <c r="F256" s="46" t="s">
        <v>288</v>
      </c>
      <c r="G256" s="47">
        <v>6591086</v>
      </c>
      <c r="H256" s="48">
        <v>20</v>
      </c>
      <c r="I256" s="94">
        <v>23059846</v>
      </c>
      <c r="J256" s="94">
        <v>21970288</v>
      </c>
      <c r="K256" s="23"/>
      <c r="L256" s="23"/>
      <c r="M256" s="90"/>
      <c r="N256" s="90">
        <f>1318217/2</f>
        <v>659108.5</v>
      </c>
      <c r="O256" s="90">
        <f>1318217/2</f>
        <v>659108.5</v>
      </c>
      <c r="P256" s="90">
        <v>659108</v>
      </c>
      <c r="Q256" s="90">
        <v>659108</v>
      </c>
      <c r="R256" s="90">
        <v>659108</v>
      </c>
      <c r="S256" s="247">
        <v>659108</v>
      </c>
      <c r="T256" s="247">
        <v>659108</v>
      </c>
      <c r="U256" s="247">
        <v>659108</v>
      </c>
      <c r="V256" s="217"/>
    </row>
    <row r="257" spans="2:22" s="2" customFormat="1" x14ac:dyDescent="0.3">
      <c r="B257" s="261">
        <v>38867</v>
      </c>
      <c r="C257" s="135" t="s">
        <v>296</v>
      </c>
      <c r="D257" s="46" t="s">
        <v>133</v>
      </c>
      <c r="E257" s="46" t="s">
        <v>33</v>
      </c>
      <c r="F257" s="46" t="s">
        <v>288</v>
      </c>
      <c r="G257" s="47">
        <v>4740220</v>
      </c>
      <c r="H257" s="48">
        <v>20</v>
      </c>
      <c r="I257" s="94">
        <v>16329480</v>
      </c>
      <c r="J257" s="94">
        <v>16329480</v>
      </c>
      <c r="K257" s="23"/>
      <c r="L257" s="23"/>
      <c r="M257" s="90"/>
      <c r="N257" s="90">
        <v>474022</v>
      </c>
      <c r="O257" s="90">
        <v>474022</v>
      </c>
      <c r="P257" s="90">
        <v>474022</v>
      </c>
      <c r="Q257" s="90">
        <v>474022</v>
      </c>
      <c r="R257" s="90">
        <v>474022</v>
      </c>
      <c r="S257" s="247">
        <v>474022</v>
      </c>
      <c r="T257" s="247">
        <v>474022</v>
      </c>
      <c r="U257" s="247">
        <v>474022</v>
      </c>
      <c r="V257" s="217"/>
    </row>
    <row r="258" spans="2:22" s="2" customFormat="1" ht="28.8" x14ac:dyDescent="0.3">
      <c r="B258" s="261">
        <v>40552</v>
      </c>
      <c r="C258" s="135" t="s">
        <v>297</v>
      </c>
      <c r="D258" s="46" t="s">
        <v>298</v>
      </c>
      <c r="E258" s="46" t="s">
        <v>113</v>
      </c>
      <c r="F258" s="46" t="s">
        <v>288</v>
      </c>
      <c r="G258" s="47">
        <v>7977055</v>
      </c>
      <c r="H258" s="48">
        <v>20</v>
      </c>
      <c r="I258" s="94">
        <v>26590182</v>
      </c>
      <c r="J258" s="94">
        <v>30892212</v>
      </c>
      <c r="K258" s="23"/>
      <c r="L258" s="23"/>
      <c r="M258" s="90"/>
      <c r="N258" s="90">
        <v>797706</v>
      </c>
      <c r="O258" s="90">
        <v>797706</v>
      </c>
      <c r="P258" s="90">
        <v>797706</v>
      </c>
      <c r="Q258" s="90">
        <v>797706</v>
      </c>
      <c r="R258" s="90">
        <v>797706</v>
      </c>
      <c r="S258" s="247">
        <v>797706</v>
      </c>
      <c r="T258" s="247">
        <v>797706</v>
      </c>
      <c r="U258" s="247">
        <v>797706</v>
      </c>
      <c r="V258" s="217"/>
    </row>
    <row r="259" spans="2:22" s="2" customFormat="1" x14ac:dyDescent="0.3">
      <c r="B259" s="261">
        <v>39492</v>
      </c>
      <c r="C259" s="135" t="s">
        <v>299</v>
      </c>
      <c r="D259" s="46" t="s">
        <v>298</v>
      </c>
      <c r="E259" s="46" t="s">
        <v>113</v>
      </c>
      <c r="F259" s="46" t="s">
        <v>288</v>
      </c>
      <c r="G259" s="47">
        <v>3354849</v>
      </c>
      <c r="H259" s="48">
        <v>20</v>
      </c>
      <c r="I259" s="94">
        <v>11182830</v>
      </c>
      <c r="J259" s="94">
        <v>11242293</v>
      </c>
      <c r="K259" s="23"/>
      <c r="L259" s="23"/>
      <c r="M259" s="90"/>
      <c r="N259" s="90">
        <v>335485</v>
      </c>
      <c r="O259" s="90">
        <v>335485</v>
      </c>
      <c r="P259" s="90">
        <v>335485</v>
      </c>
      <c r="Q259" s="90">
        <v>335485</v>
      </c>
      <c r="R259" s="90">
        <v>335485</v>
      </c>
      <c r="S259" s="247">
        <v>335485</v>
      </c>
      <c r="T259" s="247">
        <v>335485</v>
      </c>
      <c r="U259" s="247"/>
      <c r="V259" s="217"/>
    </row>
    <row r="260" spans="2:22" s="2" customFormat="1" x14ac:dyDescent="0.3">
      <c r="B260" s="261">
        <v>38866</v>
      </c>
      <c r="C260" s="135" t="s">
        <v>296</v>
      </c>
      <c r="D260" s="46" t="s">
        <v>133</v>
      </c>
      <c r="E260" s="46" t="s">
        <v>33</v>
      </c>
      <c r="F260" s="46" t="s">
        <v>288</v>
      </c>
      <c r="G260" s="47">
        <v>6384259</v>
      </c>
      <c r="H260" s="48">
        <v>20</v>
      </c>
      <c r="I260" s="94">
        <v>22393429</v>
      </c>
      <c r="J260" s="94">
        <v>22393429</v>
      </c>
      <c r="K260" s="23"/>
      <c r="L260" s="23"/>
      <c r="M260" s="90"/>
      <c r="N260" s="90"/>
      <c r="O260" s="90">
        <v>638426</v>
      </c>
      <c r="P260" s="90">
        <v>638426</v>
      </c>
      <c r="Q260" s="90">
        <v>638426</v>
      </c>
      <c r="R260" s="90">
        <v>638426</v>
      </c>
      <c r="S260" s="247">
        <v>638426</v>
      </c>
      <c r="T260" s="247">
        <v>638426</v>
      </c>
      <c r="U260" s="247">
        <v>638426</v>
      </c>
      <c r="V260" s="217"/>
    </row>
    <row r="261" spans="2:22" s="2" customFormat="1" x14ac:dyDescent="0.3">
      <c r="B261" s="261">
        <v>40492</v>
      </c>
      <c r="C261" s="135" t="s">
        <v>300</v>
      </c>
      <c r="D261" s="46" t="s">
        <v>205</v>
      </c>
      <c r="E261" s="46" t="s">
        <v>92</v>
      </c>
      <c r="F261" s="46" t="s">
        <v>288</v>
      </c>
      <c r="G261" s="47">
        <v>13524105</v>
      </c>
      <c r="H261" s="48">
        <v>20</v>
      </c>
      <c r="I261" s="94">
        <v>33810263</v>
      </c>
      <c r="J261" s="94">
        <v>33936932</v>
      </c>
      <c r="K261" s="23"/>
      <c r="L261" s="23"/>
      <c r="M261" s="90"/>
      <c r="N261" s="90"/>
      <c r="O261" s="90">
        <v>1352411</v>
      </c>
      <c r="P261" s="90">
        <v>1352411</v>
      </c>
      <c r="Q261" s="90">
        <v>1352411</v>
      </c>
      <c r="R261" s="90">
        <v>1352411</v>
      </c>
      <c r="S261" s="247">
        <v>1352411</v>
      </c>
      <c r="T261" s="247">
        <v>1352411</v>
      </c>
      <c r="U261" s="247"/>
      <c r="V261" s="217"/>
    </row>
    <row r="262" spans="2:22" s="2" customFormat="1" x14ac:dyDescent="0.3">
      <c r="B262" s="261">
        <v>38965</v>
      </c>
      <c r="C262" s="135" t="s">
        <v>301</v>
      </c>
      <c r="D262" s="46" t="s">
        <v>133</v>
      </c>
      <c r="E262" s="46" t="s">
        <v>33</v>
      </c>
      <c r="F262" s="46" t="s">
        <v>288</v>
      </c>
      <c r="G262" s="47">
        <v>16185802</v>
      </c>
      <c r="H262" s="48">
        <v>20</v>
      </c>
      <c r="I262" s="94">
        <v>40464504</v>
      </c>
      <c r="J262" s="94">
        <v>40734499</v>
      </c>
      <c r="K262" s="23"/>
      <c r="L262" s="23"/>
      <c r="M262" s="90"/>
      <c r="N262" s="90"/>
      <c r="O262" s="90">
        <v>1618580</v>
      </c>
      <c r="P262" s="90">
        <v>1618580</v>
      </c>
      <c r="Q262" s="90">
        <v>1618580</v>
      </c>
      <c r="R262" s="90">
        <v>1618580</v>
      </c>
      <c r="S262" s="247">
        <v>1618580</v>
      </c>
      <c r="T262" s="247">
        <v>1618580</v>
      </c>
      <c r="U262" s="247">
        <v>1618580</v>
      </c>
      <c r="V262" s="217"/>
    </row>
    <row r="263" spans="2:22" s="2" customFormat="1" ht="43.2" x14ac:dyDescent="0.3">
      <c r="B263" s="261">
        <v>38767</v>
      </c>
      <c r="C263" s="135" t="s">
        <v>302</v>
      </c>
      <c r="D263" s="46" t="s">
        <v>112</v>
      </c>
      <c r="E263" s="46" t="s">
        <v>113</v>
      </c>
      <c r="F263" s="46" t="s">
        <v>288</v>
      </c>
      <c r="G263" s="47">
        <v>40000000</v>
      </c>
      <c r="H263" s="48">
        <v>20</v>
      </c>
      <c r="I263" s="94">
        <v>159573169</v>
      </c>
      <c r="J263" s="94">
        <v>159622034</v>
      </c>
      <c r="K263" s="23"/>
      <c r="L263" s="23"/>
      <c r="M263" s="90"/>
      <c r="N263" s="90"/>
      <c r="O263" s="90">
        <v>4000000</v>
      </c>
      <c r="P263" s="90">
        <v>4000000</v>
      </c>
      <c r="Q263" s="90">
        <v>4000000</v>
      </c>
      <c r="R263" s="90">
        <v>4000000</v>
      </c>
      <c r="S263" s="247">
        <v>4000000</v>
      </c>
      <c r="T263" s="247">
        <v>4000000</v>
      </c>
      <c r="U263" s="247">
        <v>4000000</v>
      </c>
      <c r="V263" s="217"/>
    </row>
    <row r="264" spans="2:22" s="2" customFormat="1" x14ac:dyDescent="0.3">
      <c r="B264" s="261">
        <v>39516</v>
      </c>
      <c r="C264" s="135" t="s">
        <v>303</v>
      </c>
      <c r="D264" s="46" t="s">
        <v>81</v>
      </c>
      <c r="E264" s="46" t="s">
        <v>82</v>
      </c>
      <c r="F264" s="46" t="s">
        <v>288</v>
      </c>
      <c r="G264" s="47">
        <v>4037434</v>
      </c>
      <c r="H264" s="48">
        <v>20</v>
      </c>
      <c r="I264" s="94">
        <v>13458114</v>
      </c>
      <c r="J264" s="94">
        <v>13853572</v>
      </c>
      <c r="K264" s="23"/>
      <c r="L264" s="23"/>
      <c r="M264" s="90"/>
      <c r="N264" s="90"/>
      <c r="O264" s="90">
        <v>403743</v>
      </c>
      <c r="P264" s="90">
        <v>403743</v>
      </c>
      <c r="Q264" s="90">
        <v>403743</v>
      </c>
      <c r="R264" s="90">
        <v>403743</v>
      </c>
      <c r="S264" s="247">
        <v>403743</v>
      </c>
      <c r="T264" s="247">
        <v>403743</v>
      </c>
      <c r="U264" s="247">
        <v>403743</v>
      </c>
      <c r="V264" s="217"/>
    </row>
    <row r="265" spans="2:22" s="2" customFormat="1" ht="28.8" x14ac:dyDescent="0.3">
      <c r="B265" s="261">
        <v>40590</v>
      </c>
      <c r="C265" s="135" t="s">
        <v>304</v>
      </c>
      <c r="D265" s="46" t="s">
        <v>21</v>
      </c>
      <c r="E265" s="46" t="s">
        <v>22</v>
      </c>
      <c r="F265" s="46" t="s">
        <v>288</v>
      </c>
      <c r="G265" s="47">
        <v>37188818</v>
      </c>
      <c r="H265" s="48">
        <v>20</v>
      </c>
      <c r="I265" s="94">
        <v>203657000</v>
      </c>
      <c r="J265" s="94">
        <v>189352435</v>
      </c>
      <c r="K265" s="23"/>
      <c r="L265" s="23"/>
      <c r="M265" s="90"/>
      <c r="N265" s="90"/>
      <c r="O265" s="90">
        <v>3718882</v>
      </c>
      <c r="P265" s="90">
        <v>3718882</v>
      </c>
      <c r="Q265" s="90">
        <v>3718882</v>
      </c>
      <c r="R265" s="90">
        <v>3718882</v>
      </c>
      <c r="S265" s="247">
        <v>3718882</v>
      </c>
      <c r="T265" s="247">
        <v>3718882</v>
      </c>
      <c r="U265" s="247">
        <v>3718882</v>
      </c>
      <c r="V265" s="217"/>
    </row>
    <row r="266" spans="2:22" s="2" customFormat="1" ht="28.8" x14ac:dyDescent="0.3">
      <c r="B266" s="261">
        <v>40265</v>
      </c>
      <c r="C266" s="135" t="s">
        <v>305</v>
      </c>
      <c r="D266" s="46" t="s">
        <v>133</v>
      </c>
      <c r="E266" s="46" t="s">
        <v>33</v>
      </c>
      <c r="F266" s="46" t="s">
        <v>288</v>
      </c>
      <c r="G266" s="47">
        <v>8526146</v>
      </c>
      <c r="H266" s="48">
        <v>20</v>
      </c>
      <c r="I266" s="94">
        <v>22052435</v>
      </c>
      <c r="J266" s="94">
        <v>21315366</v>
      </c>
      <c r="K266" s="23"/>
      <c r="L266" s="23"/>
      <c r="M266" s="90"/>
      <c r="N266" s="90"/>
      <c r="O266" s="90">
        <v>852615</v>
      </c>
      <c r="P266" s="90">
        <v>852615</v>
      </c>
      <c r="Q266" s="90">
        <v>852615</v>
      </c>
      <c r="R266" s="90">
        <v>852615</v>
      </c>
      <c r="S266" s="247">
        <v>852615</v>
      </c>
      <c r="T266" s="247">
        <v>852615</v>
      </c>
      <c r="U266" s="247">
        <v>852615</v>
      </c>
      <c r="V266" s="217"/>
    </row>
    <row r="267" spans="2:22" s="2" customFormat="1" ht="28.8" x14ac:dyDescent="0.3">
      <c r="B267" s="261">
        <v>41116</v>
      </c>
      <c r="C267" s="135" t="s">
        <v>306</v>
      </c>
      <c r="D267" s="46" t="s">
        <v>21</v>
      </c>
      <c r="E267" s="46" t="s">
        <v>22</v>
      </c>
      <c r="F267" s="46" t="s">
        <v>288</v>
      </c>
      <c r="G267" s="47">
        <v>10065184</v>
      </c>
      <c r="H267" s="48">
        <v>20</v>
      </c>
      <c r="I267" s="94">
        <v>33550613</v>
      </c>
      <c r="J267" s="94">
        <v>33550613</v>
      </c>
      <c r="K267" s="23"/>
      <c r="L267" s="23"/>
      <c r="M267" s="90"/>
      <c r="N267" s="90"/>
      <c r="O267" s="90">
        <v>1006518</v>
      </c>
      <c r="P267" s="90">
        <v>1006518</v>
      </c>
      <c r="Q267" s="90">
        <v>1006518</v>
      </c>
      <c r="R267" s="90">
        <v>1006518</v>
      </c>
      <c r="S267" s="247">
        <v>1006518</v>
      </c>
      <c r="T267" s="247">
        <v>1006518</v>
      </c>
      <c r="U267" s="247">
        <v>1006518</v>
      </c>
      <c r="V267" s="217"/>
    </row>
    <row r="268" spans="2:22" s="2" customFormat="1" x14ac:dyDescent="0.3">
      <c r="B268" s="261">
        <v>41303</v>
      </c>
      <c r="C268" s="135" t="s">
        <v>307</v>
      </c>
      <c r="D268" s="146" t="s">
        <v>96</v>
      </c>
      <c r="E268" s="146" t="s">
        <v>97</v>
      </c>
      <c r="F268" s="146" t="s">
        <v>288</v>
      </c>
      <c r="G268" s="147">
        <v>30128874</v>
      </c>
      <c r="H268" s="148">
        <v>20</v>
      </c>
      <c r="I268" s="149">
        <v>100429582</v>
      </c>
      <c r="J268" s="149">
        <v>100943157</v>
      </c>
      <c r="K268" s="150"/>
      <c r="L268" s="150"/>
      <c r="M268" s="151"/>
      <c r="N268" s="151"/>
      <c r="O268" s="90">
        <v>3012887</v>
      </c>
      <c r="P268" s="90">
        <v>3012887</v>
      </c>
      <c r="Q268" s="90">
        <v>3012887</v>
      </c>
      <c r="R268" s="90">
        <v>3012887</v>
      </c>
      <c r="S268" s="247">
        <v>3012887</v>
      </c>
      <c r="T268" s="247">
        <v>3012887</v>
      </c>
      <c r="U268" s="247">
        <v>3012887</v>
      </c>
      <c r="V268" s="217"/>
    </row>
    <row r="269" spans="2:22" s="2" customFormat="1" x14ac:dyDescent="0.3">
      <c r="B269" s="261">
        <v>39160</v>
      </c>
      <c r="C269" s="135" t="s">
        <v>308</v>
      </c>
      <c r="D269" s="46" t="s">
        <v>203</v>
      </c>
      <c r="E269" s="46" t="s">
        <v>45</v>
      </c>
      <c r="F269" s="46" t="s">
        <v>288</v>
      </c>
      <c r="G269" s="47">
        <v>6792937</v>
      </c>
      <c r="H269" s="48">
        <v>20</v>
      </c>
      <c r="I269" s="94">
        <v>22643123</v>
      </c>
      <c r="J269" s="47">
        <v>22643123</v>
      </c>
      <c r="K269" s="23"/>
      <c r="L269" s="23"/>
      <c r="M269" s="90"/>
      <c r="N269" s="90"/>
      <c r="O269" s="90">
        <v>679294</v>
      </c>
      <c r="P269" s="90">
        <v>679294</v>
      </c>
      <c r="Q269" s="90">
        <v>679294</v>
      </c>
      <c r="R269" s="90">
        <v>679294</v>
      </c>
      <c r="S269" s="247">
        <v>679294</v>
      </c>
      <c r="T269" s="247">
        <v>679294</v>
      </c>
      <c r="U269" s="247">
        <v>679294</v>
      </c>
      <c r="V269" s="217"/>
    </row>
    <row r="270" spans="2:22" s="2" customFormat="1" ht="28.8" x14ac:dyDescent="0.3">
      <c r="B270" s="262">
        <v>41653</v>
      </c>
      <c r="C270" s="135" t="s">
        <v>309</v>
      </c>
      <c r="D270" s="46" t="s">
        <v>205</v>
      </c>
      <c r="E270" s="46" t="s">
        <v>92</v>
      </c>
      <c r="F270" s="46" t="s">
        <v>288</v>
      </c>
      <c r="G270" s="47">
        <v>29925360</v>
      </c>
      <c r="H270" s="48">
        <v>20</v>
      </c>
      <c r="I270" s="47">
        <v>34231827</v>
      </c>
      <c r="J270" s="47">
        <v>34231827</v>
      </c>
      <c r="K270" s="47"/>
      <c r="L270" s="47"/>
      <c r="M270" s="47"/>
      <c r="N270" s="47"/>
      <c r="O270" s="47"/>
      <c r="P270" s="47">
        <v>2992536</v>
      </c>
      <c r="Q270" s="47">
        <v>2992536</v>
      </c>
      <c r="R270" s="47">
        <v>2992536</v>
      </c>
      <c r="S270" s="248">
        <v>2992536</v>
      </c>
      <c r="T270" s="248">
        <v>2992536</v>
      </c>
      <c r="U270" s="248">
        <v>2992536</v>
      </c>
      <c r="V270" s="217"/>
    </row>
    <row r="271" spans="2:22" s="2" customFormat="1" ht="28.8" x14ac:dyDescent="0.3">
      <c r="B271" s="262">
        <v>41622</v>
      </c>
      <c r="C271" s="135" t="s">
        <v>309</v>
      </c>
      <c r="D271" s="46" t="s">
        <v>205</v>
      </c>
      <c r="E271" s="46" t="s">
        <v>92</v>
      </c>
      <c r="F271" s="46" t="s">
        <v>288</v>
      </c>
      <c r="G271" s="47">
        <v>38423008</v>
      </c>
      <c r="H271" s="48">
        <v>20</v>
      </c>
      <c r="I271" s="47">
        <v>104202683</v>
      </c>
      <c r="J271" s="47">
        <v>104202683</v>
      </c>
      <c r="K271" s="47"/>
      <c r="L271" s="47"/>
      <c r="M271" s="47"/>
      <c r="N271" s="47"/>
      <c r="O271" s="47"/>
      <c r="P271" s="47">
        <v>3842301</v>
      </c>
      <c r="Q271" s="47">
        <v>3842301</v>
      </c>
      <c r="R271" s="47">
        <v>3842301</v>
      </c>
      <c r="S271" s="248">
        <v>3842301</v>
      </c>
      <c r="T271" s="248">
        <v>3842301</v>
      </c>
      <c r="U271" s="248">
        <v>3842301</v>
      </c>
      <c r="V271" s="217"/>
    </row>
    <row r="272" spans="2:22" s="2" customFormat="1" ht="28.8" x14ac:dyDescent="0.3">
      <c r="B272" s="262">
        <v>41581</v>
      </c>
      <c r="C272" s="135" t="s">
        <v>310</v>
      </c>
      <c r="D272" s="46" t="s">
        <v>205</v>
      </c>
      <c r="E272" s="46" t="s">
        <v>92</v>
      </c>
      <c r="F272" s="46" t="s">
        <v>288</v>
      </c>
      <c r="G272" s="47">
        <v>24433560</v>
      </c>
      <c r="H272" s="48">
        <v>20</v>
      </c>
      <c r="I272" s="47">
        <v>61083899</v>
      </c>
      <c r="J272" s="47">
        <v>61083899</v>
      </c>
      <c r="K272" s="47"/>
      <c r="L272" s="47"/>
      <c r="M272" s="47"/>
      <c r="N272" s="47"/>
      <c r="O272" s="47"/>
      <c r="P272" s="47">
        <v>2443356</v>
      </c>
      <c r="Q272" s="47">
        <v>2443356</v>
      </c>
      <c r="R272" s="47">
        <v>2443356</v>
      </c>
      <c r="S272" s="248">
        <v>2443356</v>
      </c>
      <c r="T272" s="248">
        <v>2443356</v>
      </c>
      <c r="U272" s="248">
        <v>2443356</v>
      </c>
      <c r="V272" s="217"/>
    </row>
    <row r="273" spans="2:22" s="2" customFormat="1" ht="43.2" x14ac:dyDescent="0.3">
      <c r="B273" s="262">
        <v>41316</v>
      </c>
      <c r="C273" s="135" t="s">
        <v>311</v>
      </c>
      <c r="D273" s="46" t="s">
        <v>312</v>
      </c>
      <c r="E273" s="46" t="s">
        <v>43</v>
      </c>
      <c r="F273" s="46" t="s">
        <v>288</v>
      </c>
      <c r="G273" s="47">
        <v>17022967</v>
      </c>
      <c r="H273" s="48">
        <v>20</v>
      </c>
      <c r="I273" s="47">
        <v>56743222</v>
      </c>
      <c r="J273" s="47">
        <v>56743222</v>
      </c>
      <c r="K273" s="47"/>
      <c r="L273" s="47"/>
      <c r="M273" s="47"/>
      <c r="N273" s="47"/>
      <c r="O273" s="47"/>
      <c r="P273" s="47">
        <v>1702297</v>
      </c>
      <c r="Q273" s="47">
        <v>1702297</v>
      </c>
      <c r="R273" s="47">
        <v>1702297</v>
      </c>
      <c r="S273" s="248">
        <v>1702297</v>
      </c>
      <c r="T273" s="248">
        <v>1702297</v>
      </c>
      <c r="U273" s="248">
        <v>1702297</v>
      </c>
      <c r="V273" s="217"/>
    </row>
    <row r="274" spans="2:22" s="2" customFormat="1" x14ac:dyDescent="0.3">
      <c r="B274" s="262">
        <v>41104</v>
      </c>
      <c r="C274" s="135" t="s">
        <v>313</v>
      </c>
      <c r="D274" s="46" t="s">
        <v>21</v>
      </c>
      <c r="E274" s="46" t="s">
        <v>22</v>
      </c>
      <c r="F274" s="46" t="s">
        <v>288</v>
      </c>
      <c r="G274" s="47">
        <v>40000000</v>
      </c>
      <c r="H274" s="48">
        <v>20</v>
      </c>
      <c r="I274" s="47">
        <v>157053974</v>
      </c>
      <c r="J274" s="47">
        <v>159917839</v>
      </c>
      <c r="K274" s="47"/>
      <c r="L274" s="47"/>
      <c r="M274" s="47"/>
      <c r="N274" s="47"/>
      <c r="O274" s="47"/>
      <c r="P274" s="47">
        <v>4000000</v>
      </c>
      <c r="Q274" s="47">
        <v>4000000</v>
      </c>
      <c r="R274" s="47">
        <v>4000000</v>
      </c>
      <c r="S274" s="248">
        <v>4000000</v>
      </c>
      <c r="T274" s="248">
        <v>4000000</v>
      </c>
      <c r="U274" s="248">
        <v>4000000</v>
      </c>
      <c r="V274" s="217"/>
    </row>
    <row r="275" spans="2:22" s="2" customFormat="1" x14ac:dyDescent="0.3">
      <c r="B275" s="262">
        <v>41304</v>
      </c>
      <c r="C275" s="135" t="s">
        <v>314</v>
      </c>
      <c r="D275" s="146" t="s">
        <v>96</v>
      </c>
      <c r="E275" s="146" t="s">
        <v>97</v>
      </c>
      <c r="F275" s="46" t="s">
        <v>288</v>
      </c>
      <c r="G275" s="47">
        <v>20846602</v>
      </c>
      <c r="H275" s="48">
        <v>20</v>
      </c>
      <c r="I275" s="47">
        <v>69488674</v>
      </c>
      <c r="J275" s="47">
        <v>71566232</v>
      </c>
      <c r="K275" s="47"/>
      <c r="L275" s="47"/>
      <c r="M275" s="47"/>
      <c r="N275" s="47"/>
      <c r="O275" s="47"/>
      <c r="P275" s="47">
        <v>2084660</v>
      </c>
      <c r="Q275" s="47">
        <v>2084660</v>
      </c>
      <c r="R275" s="47">
        <v>2084660</v>
      </c>
      <c r="S275" s="248">
        <v>2084660</v>
      </c>
      <c r="T275" s="248">
        <v>2084660</v>
      </c>
      <c r="U275" s="248">
        <v>2084660</v>
      </c>
      <c r="V275" s="217"/>
    </row>
    <row r="276" spans="2:22" s="2" customFormat="1" ht="43.2" x14ac:dyDescent="0.3">
      <c r="B276" s="262">
        <v>41085</v>
      </c>
      <c r="C276" s="136" t="s">
        <v>315</v>
      </c>
      <c r="D276" s="46" t="s">
        <v>36</v>
      </c>
      <c r="E276" s="46" t="s">
        <v>36</v>
      </c>
      <c r="F276" s="46" t="s">
        <v>288</v>
      </c>
      <c r="G276" s="47">
        <v>5028590</v>
      </c>
      <c r="H276" s="48">
        <v>20</v>
      </c>
      <c r="I276" s="47">
        <v>12571474</v>
      </c>
      <c r="J276" s="47">
        <v>12571474</v>
      </c>
      <c r="K276" s="47"/>
      <c r="L276" s="47"/>
      <c r="M276" s="47"/>
      <c r="N276" s="47"/>
      <c r="O276" s="47"/>
      <c r="P276" s="47">
        <v>502859</v>
      </c>
      <c r="Q276" s="47">
        <v>502859</v>
      </c>
      <c r="R276" s="47">
        <v>502859</v>
      </c>
      <c r="S276" s="248">
        <v>502859</v>
      </c>
      <c r="T276" s="248">
        <v>502859</v>
      </c>
      <c r="U276" s="248">
        <v>502859</v>
      </c>
      <c r="V276" s="217"/>
    </row>
    <row r="277" spans="2:22" s="2" customFormat="1" ht="30" customHeight="1" x14ac:dyDescent="0.3">
      <c r="B277" s="262">
        <v>40548</v>
      </c>
      <c r="C277" s="136" t="s">
        <v>316</v>
      </c>
      <c r="D277" s="46" t="s">
        <v>112</v>
      </c>
      <c r="E277" s="46" t="s">
        <v>113</v>
      </c>
      <c r="F277" s="46" t="s">
        <v>288</v>
      </c>
      <c r="G277" s="47">
        <v>11500000</v>
      </c>
      <c r="H277" s="48">
        <v>20</v>
      </c>
      <c r="I277" s="47">
        <v>55292361</v>
      </c>
      <c r="J277" s="47">
        <v>55292361</v>
      </c>
      <c r="K277" s="47"/>
      <c r="L277" s="47"/>
      <c r="M277" s="47"/>
      <c r="N277" s="47"/>
      <c r="O277" s="47"/>
      <c r="P277" s="47">
        <v>1150000</v>
      </c>
      <c r="Q277" s="47">
        <v>1150000</v>
      </c>
      <c r="R277" s="47">
        <v>1150000</v>
      </c>
      <c r="S277" s="248">
        <v>1150000</v>
      </c>
      <c r="T277" s="248">
        <v>1150000</v>
      </c>
      <c r="U277" s="248">
        <v>1150000</v>
      </c>
      <c r="V277" s="217"/>
    </row>
    <row r="278" spans="2:22" s="2" customFormat="1" ht="30" customHeight="1" x14ac:dyDescent="0.3">
      <c r="B278" s="262">
        <v>39074</v>
      </c>
      <c r="C278" s="46" t="s">
        <v>317</v>
      </c>
      <c r="D278" s="46" t="s">
        <v>112</v>
      </c>
      <c r="E278" s="46" t="s">
        <v>113</v>
      </c>
      <c r="F278" s="46" t="s">
        <v>288</v>
      </c>
      <c r="G278" s="47">
        <v>8604169</v>
      </c>
      <c r="H278" s="48">
        <v>20</v>
      </c>
      <c r="I278" s="47">
        <v>28680563</v>
      </c>
      <c r="J278" s="47">
        <v>28680563</v>
      </c>
      <c r="K278" s="47"/>
      <c r="L278" s="47"/>
      <c r="M278" s="47"/>
      <c r="N278" s="47"/>
      <c r="O278" s="47"/>
      <c r="P278" s="47">
        <v>860417</v>
      </c>
      <c r="Q278" s="47">
        <v>860417</v>
      </c>
      <c r="R278" s="47">
        <v>860417</v>
      </c>
      <c r="S278" s="248">
        <v>860417</v>
      </c>
      <c r="T278" s="248">
        <v>860417</v>
      </c>
      <c r="U278" s="248">
        <v>860417</v>
      </c>
      <c r="V278" s="217"/>
    </row>
    <row r="279" spans="2:22" s="2" customFormat="1" ht="43.2" x14ac:dyDescent="0.3">
      <c r="B279" s="262">
        <v>40187</v>
      </c>
      <c r="C279" s="136" t="s">
        <v>318</v>
      </c>
      <c r="D279" s="46" t="s">
        <v>36</v>
      </c>
      <c r="E279" s="46" t="s">
        <v>36</v>
      </c>
      <c r="F279" s="46" t="s">
        <v>288</v>
      </c>
      <c r="G279" s="47">
        <v>2706272</v>
      </c>
      <c r="H279" s="48">
        <v>20</v>
      </c>
      <c r="I279" s="47">
        <v>10147218</v>
      </c>
      <c r="J279" s="47">
        <v>10147218</v>
      </c>
      <c r="K279" s="47"/>
      <c r="L279" s="47"/>
      <c r="M279" s="47"/>
      <c r="N279" s="47"/>
      <c r="O279" s="47"/>
      <c r="P279" s="47"/>
      <c r="Q279" s="47">
        <v>270627</v>
      </c>
      <c r="R279" s="47">
        <v>270627</v>
      </c>
      <c r="S279" s="248">
        <v>270627</v>
      </c>
      <c r="T279" s="248">
        <v>270627</v>
      </c>
      <c r="U279" s="248">
        <v>270627</v>
      </c>
      <c r="V279" s="217"/>
    </row>
    <row r="280" spans="2:22" s="2" customFormat="1" ht="43.2" x14ac:dyDescent="0.3">
      <c r="B280" s="262">
        <v>39030</v>
      </c>
      <c r="C280" s="136" t="s">
        <v>319</v>
      </c>
      <c r="D280" s="46" t="s">
        <v>112</v>
      </c>
      <c r="E280" s="46" t="s">
        <v>113</v>
      </c>
      <c r="F280" s="46" t="s">
        <v>288</v>
      </c>
      <c r="G280" s="47">
        <v>5253522</v>
      </c>
      <c r="H280" s="48">
        <v>20</v>
      </c>
      <c r="I280" s="47">
        <v>17511739</v>
      </c>
      <c r="J280" s="47">
        <v>18622123</v>
      </c>
      <c r="K280" s="47"/>
      <c r="L280" s="47"/>
      <c r="M280" s="47"/>
      <c r="N280" s="47"/>
      <c r="O280" s="47"/>
      <c r="P280" s="47"/>
      <c r="Q280" s="47">
        <v>525352</v>
      </c>
      <c r="R280" s="47">
        <v>525352</v>
      </c>
      <c r="S280" s="248">
        <v>525352</v>
      </c>
      <c r="T280" s="248">
        <v>525352</v>
      </c>
      <c r="U280" s="248">
        <v>525352</v>
      </c>
      <c r="V280" s="217"/>
    </row>
    <row r="281" spans="2:22" s="2" customFormat="1" ht="30" customHeight="1" x14ac:dyDescent="0.3">
      <c r="B281" s="262">
        <v>42918</v>
      </c>
      <c r="C281" s="202" t="s">
        <v>320</v>
      </c>
      <c r="D281" s="46" t="s">
        <v>321</v>
      </c>
      <c r="E281" s="46" t="s">
        <v>62</v>
      </c>
      <c r="F281" s="46" t="s">
        <v>288</v>
      </c>
      <c r="G281" s="47">
        <v>40000000</v>
      </c>
      <c r="H281" s="48">
        <v>20</v>
      </c>
      <c r="I281" s="47">
        <v>136590404</v>
      </c>
      <c r="J281" s="47">
        <v>136590404</v>
      </c>
      <c r="K281" s="47"/>
      <c r="L281" s="47"/>
      <c r="M281" s="47"/>
      <c r="N281" s="47"/>
      <c r="O281" s="47"/>
      <c r="P281" s="47"/>
      <c r="Q281" s="47">
        <v>4000000</v>
      </c>
      <c r="R281" s="47">
        <v>4000000</v>
      </c>
      <c r="S281" s="248">
        <v>4000000</v>
      </c>
      <c r="T281" s="248">
        <v>4000000</v>
      </c>
      <c r="U281" s="248">
        <v>4000000</v>
      </c>
      <c r="V281" s="217"/>
    </row>
    <row r="282" spans="2:22" s="2" customFormat="1" ht="30" customHeight="1" x14ac:dyDescent="0.3">
      <c r="B282" s="262">
        <v>41281</v>
      </c>
      <c r="C282" s="136" t="s">
        <v>322</v>
      </c>
      <c r="D282" s="46" t="s">
        <v>112</v>
      </c>
      <c r="E282" s="46" t="s">
        <v>113</v>
      </c>
      <c r="F282" s="46" t="s">
        <v>288</v>
      </c>
      <c r="G282" s="47">
        <v>8500033</v>
      </c>
      <c r="H282" s="48">
        <v>20</v>
      </c>
      <c r="I282" s="47">
        <v>28333445</v>
      </c>
      <c r="J282" s="47">
        <v>30404007</v>
      </c>
      <c r="K282" s="47"/>
      <c r="L282" s="47"/>
      <c r="M282" s="47"/>
      <c r="N282" s="47"/>
      <c r="O282" s="47"/>
      <c r="P282" s="47"/>
      <c r="Q282" s="47">
        <v>850003</v>
      </c>
      <c r="R282" s="47">
        <v>850003</v>
      </c>
      <c r="S282" s="248">
        <v>850003</v>
      </c>
      <c r="T282" s="248">
        <v>850003</v>
      </c>
      <c r="U282" s="248">
        <v>850003</v>
      </c>
      <c r="V282" s="217"/>
    </row>
    <row r="283" spans="2:22" s="2" customFormat="1" ht="30" customHeight="1" x14ac:dyDescent="0.3">
      <c r="B283" s="262">
        <v>39897</v>
      </c>
      <c r="C283" s="135" t="s">
        <v>323</v>
      </c>
      <c r="D283" s="46" t="s">
        <v>112</v>
      </c>
      <c r="E283" s="46" t="s">
        <v>113</v>
      </c>
      <c r="F283" s="46" t="s">
        <v>288</v>
      </c>
      <c r="G283" s="47">
        <v>33676732</v>
      </c>
      <c r="H283" s="48">
        <v>20</v>
      </c>
      <c r="I283" s="47">
        <v>114376773</v>
      </c>
      <c r="J283" s="47">
        <v>114376773</v>
      </c>
      <c r="K283" s="47"/>
      <c r="L283" s="47"/>
      <c r="M283" s="47"/>
      <c r="N283" s="47"/>
      <c r="O283" s="47"/>
      <c r="P283" s="47"/>
      <c r="Q283" s="47"/>
      <c r="R283" s="47">
        <v>3367673</v>
      </c>
      <c r="S283" s="248">
        <v>3367673</v>
      </c>
      <c r="T283" s="248">
        <v>3367673</v>
      </c>
      <c r="U283" s="248"/>
      <c r="V283" s="217"/>
    </row>
    <row r="284" spans="2:22" s="2" customFormat="1" ht="30" customHeight="1" x14ac:dyDescent="0.3">
      <c r="B284" s="262">
        <v>39898</v>
      </c>
      <c r="C284" s="135" t="s">
        <v>324</v>
      </c>
      <c r="D284" s="46" t="s">
        <v>112</v>
      </c>
      <c r="E284" s="46" t="s">
        <v>113</v>
      </c>
      <c r="F284" s="46" t="s">
        <v>288</v>
      </c>
      <c r="G284" s="47">
        <v>33676732</v>
      </c>
      <c r="H284" s="48">
        <v>20</v>
      </c>
      <c r="I284" s="47">
        <v>114376773</v>
      </c>
      <c r="J284" s="47">
        <v>114376773</v>
      </c>
      <c r="K284" s="47"/>
      <c r="L284" s="47"/>
      <c r="M284" s="47"/>
      <c r="N284" s="47"/>
      <c r="O284" s="47"/>
      <c r="P284" s="47"/>
      <c r="Q284" s="47"/>
      <c r="R284" s="47">
        <v>914118</v>
      </c>
      <c r="S284" s="248">
        <v>914118</v>
      </c>
      <c r="T284" s="248">
        <v>914118</v>
      </c>
      <c r="U284" s="248"/>
      <c r="V284" s="217"/>
    </row>
    <row r="285" spans="2:22" s="2" customFormat="1" ht="30" customHeight="1" x14ac:dyDescent="0.3">
      <c r="B285" s="262">
        <v>43052</v>
      </c>
      <c r="C285" s="46" t="s">
        <v>325</v>
      </c>
      <c r="D285" s="46" t="s">
        <v>326</v>
      </c>
      <c r="E285" s="46" t="s">
        <v>62</v>
      </c>
      <c r="F285" s="46" t="s">
        <v>288</v>
      </c>
      <c r="G285" s="47">
        <v>25000000</v>
      </c>
      <c r="H285" s="48">
        <v>20</v>
      </c>
      <c r="I285" s="47">
        <v>134550000</v>
      </c>
      <c r="J285" s="47">
        <v>164239680</v>
      </c>
      <c r="K285" s="47"/>
      <c r="L285" s="47"/>
      <c r="M285" s="47"/>
      <c r="N285" s="47"/>
      <c r="O285" s="47"/>
      <c r="P285" s="47"/>
      <c r="Q285" s="47"/>
      <c r="R285" s="47"/>
      <c r="S285" s="248">
        <v>2500000</v>
      </c>
      <c r="T285" s="248">
        <v>2500000</v>
      </c>
      <c r="U285" s="248">
        <v>2500000</v>
      </c>
      <c r="V285" s="217"/>
    </row>
    <row r="286" spans="2:22" s="2" customFormat="1" ht="30" customHeight="1" x14ac:dyDescent="0.3">
      <c r="B286" s="262">
        <v>42320</v>
      </c>
      <c r="C286" s="46" t="s">
        <v>363</v>
      </c>
      <c r="D286" s="46" t="s">
        <v>36</v>
      </c>
      <c r="E286" s="46" t="s">
        <v>36</v>
      </c>
      <c r="F286" s="46" t="s">
        <v>288</v>
      </c>
      <c r="G286" s="47">
        <v>17475708</v>
      </c>
      <c r="H286" s="48">
        <v>20</v>
      </c>
      <c r="I286" s="47">
        <v>43689269</v>
      </c>
      <c r="J286" s="47">
        <v>43689269</v>
      </c>
      <c r="K286" s="47"/>
      <c r="L286" s="47"/>
      <c r="M286" s="47"/>
      <c r="N286" s="47"/>
      <c r="O286" s="47"/>
      <c r="P286" s="47"/>
      <c r="Q286" s="47"/>
      <c r="R286" s="47"/>
      <c r="S286" s="248">
        <v>1747571</v>
      </c>
      <c r="T286" s="248">
        <v>1747571</v>
      </c>
      <c r="U286" s="248">
        <v>1747571</v>
      </c>
      <c r="V286" s="217"/>
    </row>
    <row r="287" spans="2:22" s="2" customFormat="1" ht="30" customHeight="1" x14ac:dyDescent="0.3">
      <c r="B287" s="262">
        <v>45843</v>
      </c>
      <c r="C287" s="46" t="s">
        <v>402</v>
      </c>
      <c r="D287" s="46" t="s">
        <v>116</v>
      </c>
      <c r="E287" s="46" t="s">
        <v>68</v>
      </c>
      <c r="F287" s="46" t="s">
        <v>288</v>
      </c>
      <c r="G287" s="47">
        <v>17000000</v>
      </c>
      <c r="H287" s="48">
        <v>20</v>
      </c>
      <c r="I287" s="248">
        <v>18046309</v>
      </c>
      <c r="J287" s="248">
        <v>18046309</v>
      </c>
      <c r="K287" s="47"/>
      <c r="L287" s="47"/>
      <c r="M287" s="47"/>
      <c r="N287" s="47"/>
      <c r="O287" s="47"/>
      <c r="P287" s="47"/>
      <c r="Q287" s="47"/>
      <c r="R287" s="47"/>
      <c r="S287" s="248"/>
      <c r="T287" s="248"/>
      <c r="U287" s="248">
        <v>1700000</v>
      </c>
      <c r="V287" s="217"/>
    </row>
    <row r="288" spans="2:22" s="2" customFormat="1" ht="30" customHeight="1" x14ac:dyDescent="0.3">
      <c r="B288" s="262" t="s">
        <v>401</v>
      </c>
      <c r="C288" s="46" t="s">
        <v>400</v>
      </c>
      <c r="D288" s="46" t="s">
        <v>116</v>
      </c>
      <c r="E288" s="46" t="s">
        <v>68</v>
      </c>
      <c r="F288" s="46" t="s">
        <v>288</v>
      </c>
      <c r="G288" s="47">
        <v>67206004</v>
      </c>
      <c r="H288" s="48">
        <v>20</v>
      </c>
      <c r="I288" s="248">
        <v>69832642</v>
      </c>
      <c r="J288" s="248">
        <v>69832641.959999993</v>
      </c>
      <c r="K288" s="47"/>
      <c r="L288" s="47"/>
      <c r="M288" s="47"/>
      <c r="N288" s="47"/>
      <c r="O288" s="47"/>
      <c r="P288" s="47"/>
      <c r="Q288" s="47"/>
      <c r="R288" s="47"/>
      <c r="S288" s="248"/>
      <c r="T288" s="248"/>
      <c r="U288" s="248">
        <v>6720600</v>
      </c>
      <c r="V288" s="217"/>
    </row>
    <row r="289" spans="2:24" x14ac:dyDescent="0.3">
      <c r="C289" s="95" t="str">
        <f>CONCATENATE(COUNTA(C250:C288) &amp; " Projects")</f>
        <v>39 Projects</v>
      </c>
      <c r="D289" s="96"/>
      <c r="E289" s="96"/>
      <c r="F289" s="96"/>
      <c r="G289" s="97">
        <f>SUM(G250:G288)</f>
        <v>722343552</v>
      </c>
      <c r="H289" s="96"/>
      <c r="I289" s="97">
        <f>SUM(I250:I288)</f>
        <v>2279713141</v>
      </c>
      <c r="J289" s="97">
        <f>SUM(J250:J288)</f>
        <v>2319955858.96</v>
      </c>
      <c r="K289" s="97">
        <f t="shared" ref="K289:U289" si="15">SUM(K250:K288)</f>
        <v>0</v>
      </c>
      <c r="L289" s="97">
        <f t="shared" si="15"/>
        <v>0</v>
      </c>
      <c r="M289" s="97">
        <f t="shared" si="15"/>
        <v>3663413</v>
      </c>
      <c r="N289" s="97">
        <f t="shared" si="15"/>
        <v>10323074.5</v>
      </c>
      <c r="O289" s="97">
        <f t="shared" si="15"/>
        <v>27606430.5</v>
      </c>
      <c r="P289" s="97">
        <f t="shared" si="15"/>
        <v>47184856</v>
      </c>
      <c r="Q289" s="97">
        <f t="shared" si="15"/>
        <v>52830838</v>
      </c>
      <c r="R289" s="97">
        <f t="shared" si="15"/>
        <v>57112629</v>
      </c>
      <c r="S289" s="97">
        <f t="shared" si="15"/>
        <v>61360200</v>
      </c>
      <c r="T289" s="97">
        <f t="shared" si="15"/>
        <v>61360200</v>
      </c>
      <c r="U289" s="97">
        <f t="shared" si="15"/>
        <v>63811113</v>
      </c>
      <c r="V289" s="1"/>
    </row>
    <row r="290" spans="2:24" ht="47.4" customHeight="1" x14ac:dyDescent="0.3">
      <c r="C290" s="8"/>
      <c r="D290" s="7"/>
      <c r="E290" s="7"/>
      <c r="F290" s="7"/>
      <c r="G290" s="98"/>
      <c r="H290" s="7"/>
      <c r="I290" s="98"/>
      <c r="J290" s="98"/>
      <c r="K290" s="98"/>
      <c r="L290" s="98"/>
      <c r="M290" s="98"/>
      <c r="N290" s="1"/>
      <c r="O290" s="153"/>
      <c r="P290" s="1"/>
      <c r="Q290" s="206"/>
      <c r="R290" s="1"/>
      <c r="T290" s="100" t="s">
        <v>327</v>
      </c>
      <c r="U290" s="205">
        <f>SUM(K289:U289)</f>
        <v>385252754</v>
      </c>
      <c r="V290" s="182"/>
      <c r="W290" s="182"/>
    </row>
    <row r="291" spans="2:24" ht="16.2" thickBot="1" x14ac:dyDescent="0.35">
      <c r="C291" s="8"/>
      <c r="D291" s="7"/>
      <c r="E291" s="7"/>
      <c r="F291" s="7"/>
      <c r="G291" s="98"/>
      <c r="H291" s="7"/>
      <c r="I291" s="98"/>
      <c r="J291" s="98"/>
      <c r="K291" s="98"/>
      <c r="L291" s="98"/>
      <c r="M291" s="98"/>
      <c r="N291" s="1"/>
      <c r="O291" s="98"/>
      <c r="Q291" s="1"/>
      <c r="R291" s="153"/>
      <c r="S291" s="159"/>
      <c r="V291" s="104"/>
    </row>
    <row r="292" spans="2:24" ht="16.2" thickBot="1" x14ac:dyDescent="0.35">
      <c r="C292" s="284" t="s">
        <v>328</v>
      </c>
      <c r="D292" s="285"/>
      <c r="E292" s="285"/>
      <c r="F292" s="285"/>
      <c r="G292" s="285"/>
      <c r="H292" s="285"/>
      <c r="I292" s="285"/>
      <c r="J292" s="285"/>
      <c r="K292" s="67">
        <v>2017</v>
      </c>
      <c r="L292" s="98"/>
      <c r="M292" s="98"/>
      <c r="N292" s="1"/>
      <c r="O292" s="98"/>
      <c r="Q292" s="1"/>
      <c r="R292" s="153"/>
      <c r="S292" s="104"/>
      <c r="T292" s="104"/>
      <c r="U292" s="104"/>
    </row>
    <row r="293" spans="2:24" ht="46.8" x14ac:dyDescent="0.3">
      <c r="C293" s="69" t="s">
        <v>1</v>
      </c>
      <c r="D293" s="70" t="s">
        <v>2</v>
      </c>
      <c r="E293" s="70" t="s">
        <v>3</v>
      </c>
      <c r="F293" s="70" t="s">
        <v>4</v>
      </c>
      <c r="G293" s="70" t="s">
        <v>5</v>
      </c>
      <c r="H293" s="71" t="s">
        <v>6</v>
      </c>
      <c r="I293" s="133" t="s">
        <v>7</v>
      </c>
      <c r="J293" s="134" t="s">
        <v>8</v>
      </c>
      <c r="K293" s="87" t="s">
        <v>259</v>
      </c>
      <c r="L293" s="98"/>
      <c r="M293" s="98"/>
      <c r="N293" s="1"/>
      <c r="O293" s="132"/>
      <c r="P293" s="104"/>
      <c r="Q293" s="153"/>
      <c r="R293" s="104"/>
    </row>
    <row r="294" spans="2:24" ht="28.8" x14ac:dyDescent="0.3">
      <c r="B294" s="256">
        <v>40551</v>
      </c>
      <c r="C294" s="136" t="s">
        <v>329</v>
      </c>
      <c r="D294" s="46" t="s">
        <v>330</v>
      </c>
      <c r="E294" s="46" t="s">
        <v>30</v>
      </c>
      <c r="F294" s="46" t="s">
        <v>331</v>
      </c>
      <c r="G294" s="47">
        <v>5000000</v>
      </c>
      <c r="H294" s="48">
        <v>1</v>
      </c>
      <c r="I294" s="47">
        <v>10000000</v>
      </c>
      <c r="J294" s="47">
        <v>10561546</v>
      </c>
      <c r="K294" s="47">
        <v>5000000</v>
      </c>
      <c r="L294" s="98"/>
      <c r="M294" s="98"/>
      <c r="N294" s="1"/>
      <c r="O294" s="132"/>
      <c r="P294" s="104"/>
      <c r="Q294" s="1"/>
    </row>
    <row r="295" spans="2:24" ht="28.8" x14ac:dyDescent="0.3">
      <c r="B295" s="256">
        <v>40549</v>
      </c>
      <c r="C295" s="136" t="s">
        <v>332</v>
      </c>
      <c r="D295" s="46" t="s">
        <v>330</v>
      </c>
      <c r="E295" s="46" t="s">
        <v>30</v>
      </c>
      <c r="F295" s="46" t="s">
        <v>331</v>
      </c>
      <c r="G295" s="47">
        <v>5000000</v>
      </c>
      <c r="H295" s="48">
        <v>1</v>
      </c>
      <c r="I295" s="47">
        <v>10000000</v>
      </c>
      <c r="J295" s="47">
        <v>10005852</v>
      </c>
      <c r="K295" s="47">
        <v>5000000</v>
      </c>
      <c r="L295" s="98"/>
      <c r="M295" s="98"/>
      <c r="N295" s="1"/>
      <c r="O295" s="132"/>
      <c r="P295" s="104"/>
      <c r="Q295" s="1"/>
    </row>
    <row r="296" spans="2:24" ht="28.8" x14ac:dyDescent="0.3">
      <c r="B296" s="256">
        <v>40550</v>
      </c>
      <c r="C296" s="136" t="s">
        <v>333</v>
      </c>
      <c r="D296" s="46" t="s">
        <v>330</v>
      </c>
      <c r="E296" s="46" t="s">
        <v>30</v>
      </c>
      <c r="F296" s="46" t="s">
        <v>331</v>
      </c>
      <c r="G296" s="47">
        <v>5000000</v>
      </c>
      <c r="H296" s="48">
        <v>1</v>
      </c>
      <c r="I296" s="47">
        <v>10000000</v>
      </c>
      <c r="J296" s="47">
        <v>10070775</v>
      </c>
      <c r="K296" s="47">
        <v>5000000</v>
      </c>
      <c r="L296" s="98"/>
      <c r="M296" s="98"/>
      <c r="N296" s="1"/>
      <c r="O296" s="132"/>
      <c r="P296" s="104"/>
      <c r="Q296" s="1"/>
    </row>
    <row r="297" spans="2:24" x14ac:dyDescent="0.3">
      <c r="C297" s="29" t="str">
        <f>CONCATENATE(COUNTA(C294:C296) &amp; " Projects")</f>
        <v>3 Projects</v>
      </c>
      <c r="D297" s="96"/>
      <c r="E297" s="96"/>
      <c r="F297" s="96"/>
      <c r="G297" s="97">
        <f>SUM(G294:G296)</f>
        <v>15000000</v>
      </c>
      <c r="H297" s="96"/>
      <c r="I297" s="97">
        <f>SUM(I294:I296)</f>
        <v>30000000</v>
      </c>
      <c r="J297" s="97">
        <f>SUM(J294:J296)</f>
        <v>30638173</v>
      </c>
      <c r="K297" s="97">
        <f>SUM(K294:K296)</f>
        <v>15000000</v>
      </c>
      <c r="L297" s="98"/>
      <c r="M297" s="98"/>
      <c r="N297" s="1"/>
      <c r="O297" s="132"/>
      <c r="P297" s="104"/>
      <c r="Q297" s="1"/>
    </row>
    <row r="298" spans="2:24" ht="46.8" x14ac:dyDescent="0.3">
      <c r="C298" s="8"/>
      <c r="D298" s="7"/>
      <c r="E298" s="7"/>
      <c r="F298" s="7"/>
      <c r="G298" s="98"/>
      <c r="H298" s="7"/>
      <c r="I298" s="98"/>
      <c r="J298" s="100" t="s">
        <v>334</v>
      </c>
      <c r="K298" s="89">
        <f>+K297</f>
        <v>15000000</v>
      </c>
      <c r="M298" s="98"/>
      <c r="N298" s="1"/>
      <c r="O298" s="132"/>
      <c r="P298" s="104"/>
      <c r="Q298" s="153"/>
    </row>
    <row r="299" spans="2:24" x14ac:dyDescent="0.3">
      <c r="C299" s="8"/>
      <c r="D299" s="7"/>
      <c r="E299" s="7"/>
      <c r="F299" s="7"/>
      <c r="G299" s="98"/>
      <c r="H299" s="7"/>
      <c r="I299" s="99"/>
      <c r="J299" s="99"/>
      <c r="K299" s="98"/>
      <c r="L299" s="98"/>
      <c r="M299" s="98"/>
      <c r="N299" s="98"/>
      <c r="O299" s="98"/>
      <c r="P299" s="2"/>
    </row>
    <row r="300" spans="2:24" x14ac:dyDescent="0.3">
      <c r="C300" s="307" t="s">
        <v>335</v>
      </c>
      <c r="D300" s="308"/>
      <c r="E300" s="308"/>
      <c r="F300" s="308"/>
      <c r="G300" s="308"/>
      <c r="H300" s="308"/>
      <c r="I300" s="308"/>
      <c r="J300" s="308"/>
      <c r="K300" s="309"/>
      <c r="L300" s="7"/>
      <c r="M300" s="5"/>
      <c r="P300" s="2"/>
      <c r="V300" s="1"/>
    </row>
    <row r="301" spans="2:24" ht="47.25" customHeight="1" x14ac:dyDescent="0.3">
      <c r="C301" s="305" t="s">
        <v>336</v>
      </c>
      <c r="D301" s="299" t="s">
        <v>337</v>
      </c>
      <c r="E301" s="299" t="s">
        <v>5</v>
      </c>
      <c r="F301" s="101"/>
      <c r="G301" s="303" t="s">
        <v>338</v>
      </c>
      <c r="H301" s="295" t="s">
        <v>11</v>
      </c>
      <c r="I301" s="296"/>
      <c r="J301" s="304" t="s">
        <v>339</v>
      </c>
      <c r="K301" s="304"/>
      <c r="L301" s="3"/>
      <c r="M301" s="2"/>
      <c r="O301" s="5"/>
      <c r="P301" s="2"/>
      <c r="W301" s="216"/>
      <c r="X301" s="216"/>
    </row>
    <row r="302" spans="2:24" ht="62.4" customHeight="1" x14ac:dyDescent="0.3">
      <c r="C302" s="305"/>
      <c r="D302" s="299"/>
      <c r="E302" s="299"/>
      <c r="F302" s="102"/>
      <c r="G302" s="303"/>
      <c r="H302" s="103" t="s">
        <v>340</v>
      </c>
      <c r="I302" s="103" t="s">
        <v>341</v>
      </c>
      <c r="J302" s="215" t="s">
        <v>229</v>
      </c>
      <c r="K302" s="215" t="s">
        <v>342</v>
      </c>
      <c r="L302" s="3"/>
      <c r="M302" s="2"/>
      <c r="O302" s="104"/>
      <c r="P302" s="2"/>
      <c r="W302" s="214"/>
      <c r="X302" s="214"/>
    </row>
    <row r="303" spans="2:24" ht="16.5" customHeight="1" x14ac:dyDescent="0.3">
      <c r="C303" s="105">
        <v>2011</v>
      </c>
      <c r="D303" s="165">
        <v>1</v>
      </c>
      <c r="E303" s="47">
        <f>G189</f>
        <v>41650000</v>
      </c>
      <c r="F303" s="47"/>
      <c r="G303" s="47">
        <f>I189</f>
        <v>86800000</v>
      </c>
      <c r="H303" s="63">
        <f>SUM(L189)</f>
        <v>4165000</v>
      </c>
      <c r="I303" s="63">
        <f>SUM(O189,R189,U189,X189,AA189,AD189,AG189, AJ189, AM189,AP189,AS189)</f>
        <v>24990000</v>
      </c>
      <c r="J303" s="113">
        <f>J189</f>
        <v>72</v>
      </c>
      <c r="K303" s="106">
        <f>K189</f>
        <v>450</v>
      </c>
      <c r="L303" s="3"/>
      <c r="M303" s="2"/>
      <c r="O303" s="5"/>
      <c r="P303" s="2"/>
      <c r="R303" s="104"/>
      <c r="W303" s="214"/>
      <c r="X303" s="214"/>
    </row>
    <row r="304" spans="2:24" x14ac:dyDescent="0.3">
      <c r="C304" s="111">
        <v>2012</v>
      </c>
      <c r="D304" s="107">
        <v>1</v>
      </c>
      <c r="E304" s="108">
        <f>G203</f>
        <v>76600000</v>
      </c>
      <c r="F304" s="108"/>
      <c r="G304" s="108">
        <f>I203</f>
        <v>220224264</v>
      </c>
      <c r="H304" s="109">
        <f>SUM(J203)</f>
        <v>7660000</v>
      </c>
      <c r="I304" s="109">
        <f>SUM(K203:T203)</f>
        <v>68940000</v>
      </c>
      <c r="J304" s="93">
        <v>0</v>
      </c>
      <c r="K304" s="110">
        <v>0</v>
      </c>
      <c r="L304" s="3"/>
      <c r="M304" s="2"/>
      <c r="O304" s="5"/>
      <c r="P304" s="2"/>
    </row>
    <row r="305" spans="2:22" x14ac:dyDescent="0.3">
      <c r="C305" s="111">
        <v>2013</v>
      </c>
      <c r="D305" s="111">
        <v>2</v>
      </c>
      <c r="E305" s="108">
        <f>SUM(G232,G192)</f>
        <v>86906897</v>
      </c>
      <c r="F305" s="108"/>
      <c r="G305" s="108">
        <f>SUM(I232,I192)</f>
        <v>135927841</v>
      </c>
      <c r="H305" s="109">
        <f>SUM(J232,R192)</f>
        <v>8748383</v>
      </c>
      <c r="I305" s="109">
        <f>SUM(U192,X192,AA192,AD192,AG192,AJ192,AM192,AP192,AS192,K232:S232)</f>
        <v>69915871</v>
      </c>
      <c r="J305" s="93">
        <f>SUM(P192)</f>
        <v>0</v>
      </c>
      <c r="K305" s="112">
        <f>Q192</f>
        <v>267</v>
      </c>
      <c r="L305" s="3"/>
      <c r="M305" s="182"/>
      <c r="O305" s="1"/>
      <c r="P305" s="2"/>
    </row>
    <row r="306" spans="2:22" x14ac:dyDescent="0.3">
      <c r="C306" s="111">
        <v>2014</v>
      </c>
      <c r="D306" s="111">
        <v>8</v>
      </c>
      <c r="E306" s="108">
        <f>SUM(G233:G234,G204:G206,G191,G28,G6)</f>
        <v>201525885</v>
      </c>
      <c r="F306" s="108"/>
      <c r="G306" s="108">
        <f>SUM(I233:I234,I204:I206,I191,J28,J6)</f>
        <v>488519725</v>
      </c>
      <c r="H306" s="109">
        <f>SUM(N6,P28,U191,L204:L206,K233:K234)</f>
        <v>20180583</v>
      </c>
      <c r="I306" s="109">
        <f>SUM(Q6,T6,W6,Z6,AC6,AF6,AI6,AL6,T28,X28,AB28, AF28,AJ28, AN28, X191,AA191,AD191,AG191,AJ191,AM191,AP191,AS191,M204:U206,L233:R234)</f>
        <v>159464171</v>
      </c>
      <c r="J306" s="113">
        <f>SUM(L6,M28,S191)</f>
        <v>112</v>
      </c>
      <c r="K306" s="110">
        <f>SUM(M6,N28,T191)</f>
        <v>940</v>
      </c>
      <c r="L306" s="163"/>
      <c r="M306" s="182"/>
      <c r="O306" s="5"/>
      <c r="P306" s="104"/>
      <c r="Q306" s="104"/>
      <c r="R306" s="104"/>
    </row>
    <row r="307" spans="2:22" x14ac:dyDescent="0.3">
      <c r="C307" s="111">
        <v>2015</v>
      </c>
      <c r="D307" s="111">
        <v>25</v>
      </c>
      <c r="E307" s="108">
        <f>SUM(G7:G10,G29:G40,G190,G193:G194,G235:G238,G250:G251)</f>
        <v>639876245</v>
      </c>
      <c r="F307" s="108"/>
      <c r="G307" s="108">
        <f>SUM(J7:J10,J29:J40,I190,I193:I194,I235:I238,J250:J251)</f>
        <v>1092479809</v>
      </c>
      <c r="H307" s="109">
        <f>SUM(Q7:Q10,T29:T40,X190,X193,X194,L235:L238,M250:M251)</f>
        <v>63612851.509999998</v>
      </c>
      <c r="I307" s="109">
        <f>SUM(T7:T10,W7:W10,Z7:Z10,AC7:AC10,AF7:AF10,AI7:AI10, AL7:AL10, X29:X40,AB29:AB40,AF29:AF40,AJ29:AJ40,AN29:AN40,AR29:AR40,AV29:AV40,AA190,AD190,AG190,AJ190,AM190,AP190,AS190,AA193:AA194,AD193:AD194,AG193:AG194,AJ193:AJ194,AM193:AM194,AP193:AP194,AS193:AS194,M235:U238,N250:U251)</f>
        <v>370557221.27999997</v>
      </c>
      <c r="J307" s="113">
        <f>SUM(O7:O10,Q29:Q40,V190,V193:V194)</f>
        <v>3712</v>
      </c>
      <c r="K307" s="110">
        <f>SUM(P7:P10,R29:R40,W190,W193:W194)</f>
        <v>7081</v>
      </c>
      <c r="L307" s="163"/>
      <c r="M307" s="163"/>
      <c r="O307" s="5"/>
      <c r="P307" s="104"/>
    </row>
    <row r="308" spans="2:22" x14ac:dyDescent="0.3">
      <c r="C308" s="111">
        <v>2016</v>
      </c>
      <c r="D308" s="111">
        <f>22+4+4+3+1+8+1</f>
        <v>43</v>
      </c>
      <c r="E308" s="108">
        <f>SUM(G41:G62,G195:G198,G239,G252:G259,G207:G209,G11:G14,G17)</f>
        <v>990061590</v>
      </c>
      <c r="F308" s="108"/>
      <c r="G308" s="108">
        <f>SUM(J41:J62,I195:I198,I239,J252:J259,I207:I209,J11:J14,J17)</f>
        <v>1445680049</v>
      </c>
      <c r="H308" s="109">
        <f>SUM(X41:X62,AA195:AA198,M239,N252:N259,N207:N209,T11:T14)</f>
        <v>95894394.480000004</v>
      </c>
      <c r="I308" s="109">
        <f>SUM(W11:W14, Z11:Z14, AC11:AC14,AF11:AF14, AI11:AI14, AL11:AL14,N239:S239,AD195:AD198, AG195:AG198, AJ195:AJ198, AM195:AM198,AP195:AP198,AS195:AS198,O207:U209,AB41:AB62,AF41:AF62,AJ41:AJ62,AN41:AN62,AR41:AR62,AV41:AV62,O252:U259)</f>
        <v>407249108.63999999</v>
      </c>
      <c r="J308" s="113">
        <f>SUM(R11:R14,U41:U62,Y195:Y198)</f>
        <v>6683</v>
      </c>
      <c r="K308" s="110">
        <f>SUM(S11:S14,V41:V62, Z195:Z198)</f>
        <v>7680</v>
      </c>
      <c r="L308" s="3"/>
      <c r="M308" s="170"/>
      <c r="N308" s="170"/>
      <c r="O308" s="170"/>
      <c r="P308" s="170"/>
    </row>
    <row r="309" spans="2:22" x14ac:dyDescent="0.3">
      <c r="C309" s="111">
        <v>2017</v>
      </c>
      <c r="D309" s="111">
        <f>2+1+4+34+2+3+10+1</f>
        <v>57</v>
      </c>
      <c r="E309" s="47">
        <f>SUM(G15:G16,G222,G210:G213,G240:G241,G63:G97,G294:G296,G260:G269)</f>
        <v>1358219978</v>
      </c>
      <c r="F309" s="108"/>
      <c r="G309" s="47">
        <f>SUM(J15:J16,J222,I210:I213,I240:I241,J63:J97,J294:J296,J260:J269)</f>
        <v>2344951848</v>
      </c>
      <c r="H309" s="91">
        <f>SUM(K294:K296,O260:O269,N240:N241,N222,O210:O213,AB63:AB97,W15:W17)</f>
        <v>148606600</v>
      </c>
      <c r="I309" s="109">
        <f>SUM(P260:U269,O240:U241,O222:U222,P210:U213,Z15:Z17,AC15:AC17, AF15:AF17,AI15:AI17,AL15:AL17,AF63:AF97, AJ63:AJ97,AN63:AN97,AR63:AR97,AV63:AV97)</f>
        <v>547187253</v>
      </c>
      <c r="J309" s="113">
        <f>SUM(U15:U17,Y63:Y97)</f>
        <v>5959</v>
      </c>
      <c r="K309" s="113">
        <f>SUM(V15:V17,Z63:Z97)</f>
        <v>4097</v>
      </c>
      <c r="L309" s="163"/>
      <c r="M309" s="170"/>
      <c r="N309" s="170"/>
      <c r="O309" s="170"/>
      <c r="P309" s="170"/>
    </row>
    <row r="310" spans="2:22" x14ac:dyDescent="0.3">
      <c r="C310" s="111">
        <v>2018</v>
      </c>
      <c r="D310" s="111">
        <v>46</v>
      </c>
      <c r="E310" s="47">
        <f>SUM(G18,G98:G128,G214:G216,G242:G243,G270:G277,G278)</f>
        <v>836722009</v>
      </c>
      <c r="F310" s="108"/>
      <c r="G310" s="47">
        <f>SUM(J270:J277)+SUM(I242:I243)+SUM(I214:I216)+SUM(J98:J123)+J18+J124+J125+J278+SUM(J126:J128)</f>
        <v>1581984863</v>
      </c>
      <c r="H310" s="91">
        <f>SUM(P270:P277)+SUM(O242:O243)+SUM(P214:P216)+SUM(AF98:AF128) +Z18+P278</f>
        <v>88785408</v>
      </c>
      <c r="I310" s="109">
        <f>SUM(Q270:U278)+SUM(P242:U243)+SUM(Q214:U216)+SUM(AJ98:AJ128)+AC18+AF18+AI18+AL18+SUM(AN98:AN128)+SUM(AR98:AR128)+SUM(AV98:AV128)</f>
        <v>310261205</v>
      </c>
      <c r="J310" s="113">
        <f>SUM(AC98:AC128)+X18</f>
        <v>2083</v>
      </c>
      <c r="K310" s="113">
        <f>SUM(AD98:AD128)+Y18</f>
        <v>4644</v>
      </c>
      <c r="L310" s="163"/>
      <c r="M310" s="170"/>
      <c r="N310" s="170"/>
      <c r="O310" s="170"/>
      <c r="P310" s="170"/>
    </row>
    <row r="311" spans="2:22" x14ac:dyDescent="0.3">
      <c r="C311" s="111">
        <v>2019</v>
      </c>
      <c r="D311" s="111">
        <v>36</v>
      </c>
      <c r="E311" s="192">
        <f>SUM(G19:G20,G129:G157,G223,G279:G282)</f>
        <v>754920914</v>
      </c>
      <c r="F311" s="108"/>
      <c r="G311" s="193">
        <f>SUM(J129:J157)+J223+SUM(J279:J282)+J19+J20</f>
        <v>1046859015.53</v>
      </c>
      <c r="H311" s="47">
        <f>SUM(AJ129:AJ157)+P223+SUM(Q279:Q282)+AC19+AC20</f>
        <v>73614411</v>
      </c>
      <c r="I311" s="242">
        <f>SUM(AF19:AF20)+SUM(AI19:AI20)+SUM(AL19:AL20)+SUM(Q223:U223)+SUM(R279:U282)+SUM(AN129:AN157)+SUM(AR129:AR157)+SUM(AV129:AV157)</f>
        <v>156609719</v>
      </c>
      <c r="J311" s="113">
        <f>SUM(AG129:AG157)+AG150+AA19+AA20</f>
        <v>4176</v>
      </c>
      <c r="K311" s="113">
        <f>SUM(AH129:AH157)+AH150+AB19+AB20</f>
        <v>4543</v>
      </c>
      <c r="L311" s="3"/>
      <c r="M311" s="170"/>
      <c r="N311" s="170"/>
      <c r="O311" s="170"/>
      <c r="P311" s="170"/>
    </row>
    <row r="312" spans="2:22" x14ac:dyDescent="0.3">
      <c r="C312" s="111">
        <v>2020</v>
      </c>
      <c r="D312" s="111">
        <v>23</v>
      </c>
      <c r="E312" s="108">
        <f>SUM(G21,G158:G176,G224,G283,G284)</f>
        <v>630645706</v>
      </c>
      <c r="F312" s="108"/>
      <c r="G312" s="108">
        <f>+J224+J283+J284+SUM(J158:J176)</f>
        <v>865285889.08999991</v>
      </c>
      <c r="H312" s="94">
        <f>AF21+Q224+R283+R284+SUM(AN158:AN176)</f>
        <v>58808945</v>
      </c>
      <c r="I312" s="187">
        <f>+AI21+AL21+SUM(S283:U284)+SUM(AR158:AR176)+SUM(AV158:AV176)+S224+T224</f>
        <v>107845297</v>
      </c>
      <c r="J312" s="187">
        <f>SUM(AK158:AK176)+AD21</f>
        <v>1559</v>
      </c>
      <c r="K312" s="187">
        <f>SUM(AL158:AL176)+AE21</f>
        <v>3825</v>
      </c>
      <c r="L312" s="3"/>
      <c r="M312" s="170"/>
      <c r="N312" s="170"/>
      <c r="O312" s="5"/>
      <c r="P312" s="2"/>
    </row>
    <row r="313" spans="2:22" x14ac:dyDescent="0.3">
      <c r="C313" s="111">
        <v>2021</v>
      </c>
      <c r="D313" s="111">
        <f>2+4+2</f>
        <v>8</v>
      </c>
      <c r="E313" s="108">
        <f>SUM(G285:G286,G177:G182)</f>
        <v>121158708</v>
      </c>
      <c r="F313" s="108"/>
      <c r="G313" s="108">
        <f>J21+J285+J286+SUM(J177:J182)</f>
        <v>510490198</v>
      </c>
      <c r="H313" s="47">
        <f>S285+S286+SUM(AR177:AR182)</f>
        <v>13838071</v>
      </c>
      <c r="I313" s="187">
        <f>SUM(AV177:AV182, T285:U286)</f>
        <v>12032892</v>
      </c>
      <c r="J313" s="187">
        <f>SUM(AO177:AO182)</f>
        <v>703</v>
      </c>
      <c r="K313" s="187">
        <f>SUM(AP177:AP182)</f>
        <v>1370</v>
      </c>
      <c r="L313" s="3"/>
      <c r="M313" s="170"/>
      <c r="N313" s="170"/>
      <c r="O313" s="5"/>
      <c r="P313" s="2"/>
    </row>
    <row r="314" spans="2:22" x14ac:dyDescent="0.3">
      <c r="C314" s="111">
        <v>2022</v>
      </c>
      <c r="D314" s="111">
        <v>2</v>
      </c>
      <c r="E314" s="108">
        <f>+G225+G244</f>
        <v>28007860</v>
      </c>
      <c r="F314" s="108"/>
      <c r="G314" s="108">
        <f>+J225+I244</f>
        <v>451547762</v>
      </c>
      <c r="H314" s="47">
        <f>S225+S244</f>
        <v>10717830</v>
      </c>
      <c r="I314" s="187">
        <f>T225+U225</f>
        <v>1627947</v>
      </c>
      <c r="J314" s="187"/>
      <c r="K314" s="187"/>
      <c r="L314" s="3"/>
      <c r="M314" s="170"/>
      <c r="N314" s="170"/>
      <c r="O314" s="5"/>
      <c r="P314" s="2"/>
    </row>
    <row r="315" spans="2:22" x14ac:dyDescent="0.3">
      <c r="C315" s="111">
        <v>2023</v>
      </c>
      <c r="D315" s="111">
        <f>1+2</f>
        <v>3</v>
      </c>
      <c r="E315" s="108">
        <f>+G226+G287+G288</f>
        <v>87807498</v>
      </c>
      <c r="F315" s="108"/>
      <c r="G315" s="108">
        <f>+J226+J287+J288</f>
        <v>110673215.95999999</v>
      </c>
      <c r="H315" s="94">
        <f>+T226+U287+U288</f>
        <v>12017084</v>
      </c>
      <c r="I315" s="253"/>
      <c r="J315" s="187"/>
      <c r="K315" s="187"/>
      <c r="L315" s="3"/>
      <c r="M315" s="170"/>
      <c r="N315" s="170"/>
      <c r="O315" s="5"/>
      <c r="P315" s="2"/>
    </row>
    <row r="316" spans="2:22" s="8" customFormat="1" x14ac:dyDescent="0.3">
      <c r="B316" s="259"/>
      <c r="C316" s="171" t="s">
        <v>343</v>
      </c>
      <c r="D316" s="172">
        <f>SUM(D303:D315)</f>
        <v>255</v>
      </c>
      <c r="E316" s="173">
        <f>SUM(E303:E315)</f>
        <v>5854103290</v>
      </c>
      <c r="F316" s="173"/>
      <c r="G316" s="173">
        <f>SUM(G303:G315)</f>
        <v>10381424479.579998</v>
      </c>
      <c r="H316" s="297">
        <f>SUM(H303:H315,I303:I315)</f>
        <v>2843330245.9099998</v>
      </c>
      <c r="I316" s="298"/>
      <c r="J316" s="174">
        <f>SUM(J303:J314)</f>
        <v>25059</v>
      </c>
      <c r="K316" s="175">
        <f>SUM(K303:K314)</f>
        <v>34897</v>
      </c>
      <c r="L316" s="176"/>
      <c r="M316" s="170"/>
      <c r="N316" s="170"/>
      <c r="P316" s="7"/>
      <c r="Q316" s="7"/>
      <c r="R316" s="7"/>
      <c r="S316" s="7"/>
      <c r="T316" s="7"/>
      <c r="U316" s="7"/>
      <c r="V316" s="7"/>
    </row>
    <row r="317" spans="2:22" s="114" customFormat="1" hidden="1" x14ac:dyDescent="0.3">
      <c r="B317" s="263"/>
      <c r="D317" s="177"/>
      <c r="E317" s="178">
        <f>SUM(G297,G289,G245,G227,G217,G199,G183,G22)</f>
        <v>5854103290</v>
      </c>
      <c r="F317" s="178"/>
      <c r="G317" s="178">
        <f>SUM(J297,J289,I245,J227,I217,I199,J183,J22)</f>
        <v>10381424479.58</v>
      </c>
      <c r="H317" s="179"/>
      <c r="I317" s="180">
        <f>+K298+U290+U246+U228+U218+AV184+AL23</f>
        <v>2843330245.9099998</v>
      </c>
      <c r="J317" s="180">
        <f>+J189+M28+L6+SUM(O7:O10)+SUM(Q29:Q40)+SUM(U41:U62)+SUM(Y63:Y97)+SUM(R11:R14)+U15+U16+U17+P192+S191+V193+V194+V190+Y195+Y196+Y197+Y198+SUM(AC98:AC128)+SUM(AG129:AG157)+R17+X18+SUM(AK158:AK176)+AA19+AA20+AD21+SUM(AO177:AO182)</f>
        <v>25059</v>
      </c>
      <c r="K317" s="180">
        <f>+K189+N28+M6+SUM(P7:P10)+SUM(R29:R40)+SUM(V41:V62)+SUM(Z63:Z97)+SUM(S11:S14)+V15+V16+V17+Q192+T191+W193+W194+W190+Z195+Z196+Z197+Z198+SUM(AD98:AD128)+SUM(AH129:AH157)+S17+Y18+SUM(AL158:AL176)+AH150+AB19+AB20+AE21+SUM(AP177:AP182)</f>
        <v>34897</v>
      </c>
      <c r="L317" s="177"/>
      <c r="M317" s="163"/>
      <c r="N317" s="181"/>
      <c r="O317" s="177"/>
      <c r="P317" s="177"/>
      <c r="Q317" s="177"/>
      <c r="R317" s="177"/>
      <c r="S317" s="177"/>
      <c r="T317" s="177"/>
      <c r="U317" s="177"/>
      <c r="V317" s="177"/>
    </row>
    <row r="318" spans="2:22" hidden="1" x14ac:dyDescent="0.3">
      <c r="C318" s="1">
        <f>3+39+13+5+14+10+155+16</f>
        <v>255</v>
      </c>
      <c r="D318" s="2" t="s">
        <v>344</v>
      </c>
      <c r="E318" s="2" t="s">
        <v>344</v>
      </c>
      <c r="F318" s="2" t="s">
        <v>344</v>
      </c>
      <c r="G318" s="2" t="s">
        <v>344</v>
      </c>
      <c r="H318" s="2" t="s">
        <v>344</v>
      </c>
      <c r="I318" s="2" t="s">
        <v>345</v>
      </c>
      <c r="J318" s="2"/>
      <c r="K318" s="4" t="s">
        <v>344</v>
      </c>
      <c r="M318" s="163"/>
    </row>
    <row r="319" spans="2:22" hidden="1" x14ac:dyDescent="0.3">
      <c r="E319" s="160">
        <f>+E316-E317</f>
        <v>0</v>
      </c>
      <c r="G319" s="160">
        <f>+G316-G317</f>
        <v>0</v>
      </c>
      <c r="H319" s="104"/>
      <c r="I319" s="169">
        <f>+H316-I317</f>
        <v>0</v>
      </c>
      <c r="J319" s="161">
        <f>+J316-J317</f>
        <v>0</v>
      </c>
      <c r="K319" s="161">
        <f>+K316-K317</f>
        <v>0</v>
      </c>
      <c r="L319" s="161"/>
      <c r="M319" s="163"/>
    </row>
    <row r="320" spans="2:22" x14ac:dyDescent="0.3">
      <c r="C320" s="300" t="s">
        <v>346</v>
      </c>
      <c r="D320" s="301"/>
      <c r="E320" s="301"/>
      <c r="F320" s="301"/>
      <c r="G320" s="301"/>
      <c r="H320" s="301"/>
      <c r="I320" s="301"/>
      <c r="J320" s="301"/>
      <c r="K320" s="301"/>
      <c r="L320" s="301"/>
      <c r="M320" s="301"/>
      <c r="N320" s="301"/>
      <c r="O320" s="301"/>
      <c r="P320" s="301"/>
      <c r="Q320" s="301"/>
      <c r="R320" s="301"/>
      <c r="S320" s="301"/>
      <c r="T320" s="301"/>
      <c r="U320" s="301"/>
    </row>
    <row r="321" spans="2:25" s="8" customFormat="1" ht="54.75" customHeight="1" x14ac:dyDescent="0.3">
      <c r="B321" s="259"/>
      <c r="C321" s="306" t="s">
        <v>347</v>
      </c>
      <c r="D321" s="306"/>
      <c r="E321" s="306"/>
      <c r="F321" s="306"/>
      <c r="G321" s="306"/>
      <c r="H321" s="306"/>
      <c r="I321" s="306"/>
      <c r="J321" s="306"/>
      <c r="K321" s="306"/>
      <c r="L321" s="306"/>
      <c r="M321" s="306"/>
      <c r="N321" s="306"/>
      <c r="O321" s="306"/>
      <c r="P321" s="306"/>
      <c r="Q321" s="306"/>
      <c r="R321" s="306"/>
      <c r="S321" s="306"/>
      <c r="T321" s="306"/>
      <c r="U321" s="36"/>
      <c r="V321" s="115"/>
      <c r="W321" s="216"/>
      <c r="X321" s="216"/>
      <c r="Y321" s="216"/>
    </row>
    <row r="322" spans="2:25" ht="37.5" customHeight="1" x14ac:dyDescent="0.3">
      <c r="C322" s="302" t="s">
        <v>348</v>
      </c>
      <c r="D322" s="302"/>
      <c r="E322" s="302"/>
      <c r="F322" s="302"/>
      <c r="G322" s="302"/>
      <c r="H322" s="302"/>
      <c r="I322" s="302"/>
      <c r="J322" s="302"/>
      <c r="K322" s="302"/>
      <c r="L322" s="302"/>
      <c r="M322" s="302"/>
      <c r="N322" s="302"/>
      <c r="O322" s="302"/>
      <c r="P322" s="302"/>
      <c r="Q322" s="302"/>
      <c r="R322" s="302"/>
      <c r="S322" s="302"/>
      <c r="T322" s="302"/>
      <c r="U322" s="116"/>
      <c r="V322" s="115"/>
      <c r="W322" s="214"/>
      <c r="X322" s="214"/>
      <c r="Y322" s="214"/>
    </row>
    <row r="323" spans="2:25" ht="21" customHeight="1" x14ac:dyDescent="0.3">
      <c r="C323" s="294" t="s">
        <v>349</v>
      </c>
      <c r="D323" s="294"/>
      <c r="E323" s="294"/>
      <c r="F323" s="294"/>
      <c r="G323" s="294"/>
      <c r="H323" s="294"/>
      <c r="I323" s="294"/>
      <c r="J323" s="294"/>
      <c r="K323" s="294"/>
      <c r="L323" s="294"/>
      <c r="M323" s="294"/>
      <c r="N323" s="294"/>
      <c r="O323" s="294"/>
      <c r="P323" s="294"/>
      <c r="Q323" s="294"/>
      <c r="R323" s="294"/>
      <c r="S323" s="294"/>
      <c r="T323" s="294"/>
      <c r="U323" s="117"/>
      <c r="V323" s="118"/>
    </row>
    <row r="324" spans="2:25" ht="18" customHeight="1" x14ac:dyDescent="0.3">
      <c r="C324" s="8" t="s">
        <v>350</v>
      </c>
      <c r="D324" s="213"/>
      <c r="E324" s="213"/>
      <c r="F324" s="213"/>
      <c r="G324" s="213"/>
      <c r="H324" s="213"/>
      <c r="I324" s="213"/>
      <c r="J324" s="213"/>
      <c r="K324" s="213"/>
      <c r="L324" s="213"/>
      <c r="M324" s="213"/>
      <c r="N324" s="213"/>
      <c r="O324" s="213"/>
      <c r="P324" s="213"/>
      <c r="Q324" s="213"/>
      <c r="R324" s="213"/>
      <c r="S324" s="213"/>
      <c r="T324" s="213"/>
      <c r="U324" s="117"/>
      <c r="V324" s="118"/>
    </row>
    <row r="325" spans="2:25" ht="18" customHeight="1" x14ac:dyDescent="0.3">
      <c r="C325" s="294" t="s">
        <v>351</v>
      </c>
      <c r="D325" s="294"/>
      <c r="E325" s="294"/>
      <c r="F325" s="294"/>
      <c r="G325" s="294"/>
      <c r="H325" s="294"/>
      <c r="I325" s="294"/>
      <c r="J325" s="294"/>
      <c r="K325" s="294"/>
      <c r="L325" s="294"/>
      <c r="M325" s="294"/>
      <c r="N325" s="294"/>
      <c r="O325" s="294"/>
      <c r="P325" s="294"/>
      <c r="Q325" s="294"/>
      <c r="R325" s="294"/>
      <c r="S325" s="294"/>
      <c r="T325" s="294"/>
      <c r="U325" s="117"/>
      <c r="V325" s="118"/>
    </row>
    <row r="326" spans="2:25" ht="18" customHeight="1" x14ac:dyDescent="0.3">
      <c r="C326" s="164" t="s">
        <v>352</v>
      </c>
      <c r="D326" s="213"/>
      <c r="E326" s="213"/>
      <c r="F326" s="213"/>
      <c r="G326" s="213"/>
      <c r="H326" s="213"/>
      <c r="I326" s="213"/>
      <c r="J326" s="213"/>
      <c r="K326" s="213"/>
      <c r="L326" s="213"/>
      <c r="M326" s="213"/>
      <c r="N326" s="213"/>
      <c r="O326" s="213"/>
      <c r="P326" s="213"/>
      <c r="Q326" s="213"/>
      <c r="R326" s="213"/>
      <c r="S326" s="213"/>
      <c r="T326" s="213"/>
      <c r="U326" s="117"/>
      <c r="V326" s="118"/>
    </row>
    <row r="327" spans="2:25" ht="24" customHeight="1" x14ac:dyDescent="0.3">
      <c r="C327" s="119" t="s">
        <v>353</v>
      </c>
      <c r="D327" s="117"/>
      <c r="E327" s="117"/>
      <c r="F327" s="117"/>
      <c r="G327" s="117"/>
      <c r="H327" s="117"/>
      <c r="N327" s="117"/>
      <c r="O327" s="117"/>
      <c r="P327" s="3"/>
      <c r="Q327" s="117"/>
      <c r="R327" s="117"/>
      <c r="S327" s="117"/>
      <c r="T327" s="117"/>
      <c r="U327" s="117"/>
      <c r="V327" s="118"/>
    </row>
    <row r="328" spans="2:25" ht="12.75" customHeight="1" x14ac:dyDescent="0.3">
      <c r="C328" s="120"/>
      <c r="D328" s="117"/>
      <c r="E328" s="117"/>
      <c r="F328" s="117"/>
      <c r="G328" s="117"/>
      <c r="H328" s="117"/>
      <c r="N328" s="117"/>
      <c r="O328" s="117"/>
      <c r="P328" s="3"/>
      <c r="Q328" s="117"/>
      <c r="R328" s="117"/>
      <c r="S328" s="117"/>
      <c r="T328" s="117"/>
      <c r="U328" s="117"/>
      <c r="V328" s="118"/>
    </row>
    <row r="329" spans="2:25" x14ac:dyDescent="0.3">
      <c r="C329" s="293" t="s">
        <v>354</v>
      </c>
      <c r="D329" s="288"/>
      <c r="E329" s="288"/>
      <c r="F329" s="288"/>
      <c r="G329" s="288"/>
      <c r="H329" s="288"/>
      <c r="I329" s="288"/>
      <c r="J329" s="288"/>
      <c r="K329" s="288"/>
      <c r="L329" s="288"/>
      <c r="M329" s="288"/>
      <c r="N329" s="288"/>
      <c r="O329" s="288"/>
      <c r="P329" s="288"/>
      <c r="Q329" s="288"/>
      <c r="R329" s="288"/>
      <c r="S329" s="288"/>
      <c r="T329" s="288"/>
      <c r="U329" s="118"/>
      <c r="V329" s="118"/>
      <c r="W329" s="121"/>
      <c r="X329" s="121"/>
      <c r="Y329" s="121"/>
    </row>
    <row r="330" spans="2:25" ht="14.25" customHeight="1" x14ac:dyDescent="0.3">
      <c r="C330" s="212"/>
      <c r="D330" s="118"/>
      <c r="E330" s="118"/>
      <c r="F330" s="118"/>
      <c r="G330" s="118"/>
      <c r="H330" s="118"/>
      <c r="I330" s="118"/>
      <c r="J330" s="118"/>
      <c r="K330" s="118"/>
      <c r="L330" s="118"/>
      <c r="M330" s="118"/>
      <c r="N330" s="118"/>
      <c r="O330" s="118"/>
      <c r="P330" s="118"/>
      <c r="Q330" s="118"/>
      <c r="R330" s="118"/>
      <c r="S330" s="118"/>
      <c r="T330" s="118"/>
      <c r="U330" s="118"/>
      <c r="V330" s="115"/>
      <c r="W330" s="121"/>
      <c r="X330" s="121"/>
      <c r="Y330" s="121"/>
    </row>
    <row r="331" spans="2:25" ht="18.75" customHeight="1" x14ac:dyDescent="0.3">
      <c r="C331" s="293" t="s">
        <v>355</v>
      </c>
      <c r="D331" s="293"/>
      <c r="E331" s="293"/>
      <c r="F331" s="293"/>
      <c r="G331" s="293"/>
      <c r="H331" s="293"/>
      <c r="I331" s="293"/>
      <c r="J331" s="293"/>
      <c r="K331" s="293"/>
      <c r="L331" s="293"/>
      <c r="M331" s="293"/>
      <c r="N331" s="293"/>
      <c r="O331" s="293"/>
      <c r="P331" s="293"/>
      <c r="Q331" s="293"/>
      <c r="R331" s="293"/>
      <c r="S331" s="293"/>
      <c r="T331" s="288"/>
      <c r="U331" s="118"/>
      <c r="V331" s="115"/>
      <c r="W331" s="212"/>
      <c r="X331" s="212"/>
      <c r="Y331" s="212"/>
    </row>
    <row r="332" spans="2:25" ht="13.5" customHeight="1" x14ac:dyDescent="0.3">
      <c r="C332" s="212"/>
      <c r="D332" s="118"/>
      <c r="E332" s="118"/>
      <c r="F332" s="118"/>
      <c r="G332" s="118"/>
      <c r="H332" s="118"/>
      <c r="I332" s="118"/>
      <c r="J332" s="118"/>
      <c r="K332" s="118"/>
      <c r="L332" s="118"/>
      <c r="M332" s="118"/>
      <c r="N332" s="118"/>
      <c r="O332" s="118"/>
      <c r="P332" s="118"/>
      <c r="Q332" s="118"/>
      <c r="R332" s="118"/>
      <c r="S332" s="118"/>
      <c r="T332" s="118"/>
      <c r="U332" s="118"/>
      <c r="V332" s="115"/>
      <c r="W332" s="212"/>
      <c r="X332" s="212"/>
      <c r="Y332" s="212"/>
    </row>
    <row r="333" spans="2:25" ht="35.25" customHeight="1" x14ac:dyDescent="0.3">
      <c r="C333" s="293" t="s">
        <v>356</v>
      </c>
      <c r="D333" s="293"/>
      <c r="E333" s="293"/>
      <c r="F333" s="293"/>
      <c r="G333" s="293"/>
      <c r="H333" s="293"/>
      <c r="I333" s="293"/>
      <c r="J333" s="293"/>
      <c r="K333" s="293"/>
      <c r="L333" s="293"/>
      <c r="M333" s="293"/>
      <c r="N333" s="293"/>
      <c r="O333" s="293"/>
      <c r="P333" s="293"/>
      <c r="Q333" s="293"/>
      <c r="R333" s="293"/>
      <c r="S333" s="293"/>
      <c r="T333" s="288"/>
      <c r="U333" s="118"/>
      <c r="V333" s="115"/>
      <c r="W333" s="120"/>
      <c r="X333" s="120"/>
      <c r="Y333" s="212"/>
    </row>
    <row r="334" spans="2:25" ht="12.75" customHeight="1" x14ac:dyDescent="0.3">
      <c r="C334" s="212"/>
      <c r="D334" s="118"/>
      <c r="E334" s="118"/>
      <c r="F334" s="118"/>
      <c r="G334" s="118"/>
      <c r="H334" s="118"/>
      <c r="I334" s="118"/>
      <c r="J334" s="118"/>
      <c r="K334" s="118"/>
      <c r="L334" s="118"/>
      <c r="M334" s="118"/>
      <c r="N334" s="118"/>
      <c r="O334" s="118"/>
      <c r="P334" s="118"/>
      <c r="Q334" s="118"/>
      <c r="R334" s="118"/>
      <c r="S334" s="118"/>
      <c r="T334" s="118"/>
      <c r="U334" s="118"/>
      <c r="V334" s="115"/>
      <c r="W334" s="212"/>
      <c r="X334" s="212"/>
      <c r="Y334" s="212"/>
    </row>
    <row r="335" spans="2:25" x14ac:dyDescent="0.3">
      <c r="C335" s="293" t="s">
        <v>357</v>
      </c>
      <c r="D335" s="288"/>
      <c r="E335" s="288"/>
      <c r="F335" s="288"/>
      <c r="G335" s="288"/>
      <c r="H335" s="288"/>
      <c r="I335" s="288"/>
      <c r="J335" s="288"/>
      <c r="K335" s="288"/>
      <c r="L335" s="288"/>
      <c r="M335" s="288"/>
      <c r="N335" s="288"/>
      <c r="O335" s="288"/>
      <c r="P335" s="288"/>
      <c r="Q335" s="288"/>
      <c r="R335" s="288"/>
      <c r="S335" s="288"/>
      <c r="T335" s="288"/>
      <c r="U335" s="118"/>
      <c r="V335" s="115"/>
      <c r="W335" s="121"/>
      <c r="X335" s="121"/>
      <c r="Y335" s="121"/>
    </row>
    <row r="336" spans="2:25" ht="12.75" customHeight="1" x14ac:dyDescent="0.3">
      <c r="C336" s="212"/>
      <c r="D336" s="118"/>
      <c r="E336" s="118"/>
      <c r="F336" s="118"/>
      <c r="G336" s="118"/>
      <c r="H336" s="118"/>
      <c r="I336" s="118"/>
      <c r="J336" s="118"/>
      <c r="K336" s="118"/>
      <c r="L336" s="118"/>
      <c r="M336" s="118"/>
      <c r="N336" s="118"/>
      <c r="O336" s="118"/>
      <c r="P336" s="118"/>
      <c r="Q336" s="118"/>
      <c r="R336" s="118"/>
      <c r="S336" s="118"/>
      <c r="T336" s="118"/>
      <c r="U336" s="118"/>
      <c r="V336" s="122"/>
      <c r="W336" s="121"/>
      <c r="X336" s="121"/>
      <c r="Y336" s="121"/>
    </row>
    <row r="337" spans="2:25" x14ac:dyDescent="0.3">
      <c r="C337" s="293" t="s">
        <v>358</v>
      </c>
      <c r="D337" s="288"/>
      <c r="E337" s="288"/>
      <c r="F337" s="288"/>
      <c r="G337" s="288"/>
      <c r="H337" s="288"/>
      <c r="I337" s="288"/>
      <c r="J337" s="288"/>
      <c r="K337" s="288"/>
      <c r="L337" s="288"/>
      <c r="M337" s="288"/>
      <c r="N337" s="288"/>
      <c r="O337" s="288"/>
      <c r="P337" s="288"/>
      <c r="Q337" s="288"/>
      <c r="R337" s="288"/>
      <c r="S337" s="288"/>
      <c r="T337" s="288"/>
      <c r="U337" s="118"/>
      <c r="W337" s="121"/>
      <c r="X337" s="121"/>
      <c r="Y337" s="121"/>
    </row>
    <row r="338" spans="2:25" ht="11.25" customHeight="1" x14ac:dyDescent="0.3">
      <c r="C338" s="212"/>
      <c r="D338" s="118"/>
      <c r="E338" s="118"/>
      <c r="F338" s="118"/>
      <c r="G338" s="118"/>
      <c r="H338" s="118"/>
      <c r="I338" s="118"/>
      <c r="J338" s="118"/>
      <c r="K338" s="118"/>
      <c r="L338" s="118"/>
      <c r="M338" s="118"/>
      <c r="N338" s="118"/>
      <c r="O338" s="118"/>
      <c r="P338" s="118"/>
      <c r="Q338" s="118"/>
      <c r="R338" s="118"/>
      <c r="S338" s="118"/>
      <c r="T338" s="118"/>
      <c r="U338" s="118"/>
      <c r="V338" s="117"/>
      <c r="W338" s="121"/>
      <c r="X338" s="121"/>
      <c r="Y338" s="121"/>
    </row>
    <row r="339" spans="2:25" x14ac:dyDescent="0.3">
      <c r="C339" s="293" t="s">
        <v>359</v>
      </c>
      <c r="D339" s="288"/>
      <c r="E339" s="288"/>
      <c r="F339" s="288"/>
      <c r="G339" s="288"/>
      <c r="H339" s="288"/>
      <c r="I339" s="288"/>
      <c r="J339" s="288"/>
      <c r="K339" s="288"/>
      <c r="L339" s="288"/>
      <c r="M339" s="288"/>
      <c r="N339" s="288"/>
      <c r="O339" s="288"/>
      <c r="P339" s="288"/>
      <c r="Q339" s="288"/>
      <c r="R339" s="288"/>
      <c r="S339" s="288"/>
      <c r="T339" s="288"/>
      <c r="U339" s="118"/>
      <c r="W339" s="121"/>
      <c r="X339" s="121"/>
      <c r="Y339" s="121"/>
    </row>
    <row r="340" spans="2:25" ht="12" customHeight="1" x14ac:dyDescent="0.3">
      <c r="C340" s="212"/>
      <c r="D340" s="118"/>
      <c r="E340" s="118"/>
      <c r="F340" s="118"/>
      <c r="G340" s="118"/>
      <c r="H340" s="118"/>
      <c r="I340" s="118"/>
      <c r="J340" s="118"/>
      <c r="K340" s="118"/>
      <c r="L340" s="118"/>
      <c r="M340" s="118"/>
      <c r="N340" s="118"/>
      <c r="O340" s="118"/>
      <c r="P340" s="118"/>
      <c r="Q340" s="118"/>
      <c r="R340" s="118"/>
      <c r="S340" s="118"/>
      <c r="T340" s="118"/>
      <c r="U340" s="118"/>
      <c r="W340" s="121"/>
      <c r="X340" s="121"/>
      <c r="Y340" s="121"/>
    </row>
    <row r="341" spans="2:25" ht="51.75" customHeight="1" x14ac:dyDescent="0.3">
      <c r="C341" s="287" t="s">
        <v>360</v>
      </c>
      <c r="D341" s="288"/>
      <c r="E341" s="288"/>
      <c r="F341" s="288"/>
      <c r="G341" s="288"/>
      <c r="H341" s="288"/>
      <c r="I341" s="288"/>
      <c r="J341" s="288"/>
      <c r="K341" s="288"/>
      <c r="L341" s="288"/>
      <c r="M341" s="288"/>
      <c r="N341" s="288"/>
      <c r="O341" s="288"/>
      <c r="P341" s="288"/>
      <c r="Q341" s="288"/>
      <c r="R341" s="288"/>
      <c r="S341" s="288"/>
      <c r="T341" s="288"/>
      <c r="U341" s="122"/>
      <c r="W341" s="120"/>
      <c r="X341" s="120"/>
      <c r="Y341" s="212"/>
    </row>
    <row r="343" spans="2:25" x14ac:dyDescent="0.3">
      <c r="C343" s="214" t="s">
        <v>361</v>
      </c>
      <c r="D343" s="117"/>
      <c r="E343" s="117"/>
      <c r="F343" s="117"/>
      <c r="G343" s="117"/>
      <c r="H343" s="117"/>
      <c r="I343" s="117"/>
      <c r="J343" s="117"/>
      <c r="K343" s="117"/>
      <c r="L343" s="117"/>
      <c r="M343" s="117"/>
      <c r="N343" s="117"/>
      <c r="O343" s="117"/>
      <c r="P343" s="117"/>
      <c r="Q343" s="117"/>
      <c r="R343" s="117"/>
      <c r="S343" s="117"/>
      <c r="T343" s="117"/>
      <c r="U343" s="117"/>
    </row>
    <row r="344" spans="2:25" x14ac:dyDescent="0.3">
      <c r="C344" s="166">
        <v>45523</v>
      </c>
    </row>
    <row r="345" spans="2:25" x14ac:dyDescent="0.3">
      <c r="B345" s="256">
        <v>2011</v>
      </c>
    </row>
    <row r="346" spans="2:25" x14ac:dyDescent="0.3">
      <c r="B346" s="256">
        <v>2012</v>
      </c>
    </row>
    <row r="347" spans="2:25" x14ac:dyDescent="0.3">
      <c r="B347" s="256">
        <v>2013</v>
      </c>
      <c r="E347" s="182"/>
      <c r="G347" s="182"/>
      <c r="I347" s="182"/>
    </row>
    <row r="348" spans="2:25" x14ac:dyDescent="0.3">
      <c r="B348" s="256">
        <v>2014</v>
      </c>
    </row>
    <row r="349" spans="2:25" x14ac:dyDescent="0.3">
      <c r="B349" s="264">
        <v>2015</v>
      </c>
    </row>
    <row r="350" spans="2:25" x14ac:dyDescent="0.3">
      <c r="B350" s="256">
        <v>2016</v>
      </c>
    </row>
    <row r="351" spans="2:25" x14ac:dyDescent="0.3">
      <c r="B351" s="256">
        <v>2017</v>
      </c>
    </row>
    <row r="352" spans="2:25" x14ac:dyDescent="0.3">
      <c r="B352" s="265">
        <v>2018</v>
      </c>
    </row>
    <row r="353" spans="2:2" x14ac:dyDescent="0.3">
      <c r="B353" s="256">
        <v>2019</v>
      </c>
    </row>
  </sheetData>
  <sortState xmlns:xlrd2="http://schemas.microsoft.com/office/spreadsheetml/2017/richdata2" ref="B105:AF114">
    <sortCondition ref="C105:C114"/>
  </sortState>
  <mergeCells count="106">
    <mergeCell ref="P187:Q187"/>
    <mergeCell ref="S187:T187"/>
    <mergeCell ref="AQ186:AS186"/>
    <mergeCell ref="AQ187:AR187"/>
    <mergeCell ref="AG3:AI3"/>
    <mergeCell ref="AG4:AH4"/>
    <mergeCell ref="AJ3:AL3"/>
    <mergeCell ref="AJ4:AK4"/>
    <mergeCell ref="AS25:AV25"/>
    <mergeCell ref="AS26:AT26"/>
    <mergeCell ref="AH186:AJ186"/>
    <mergeCell ref="AH187:AI187"/>
    <mergeCell ref="AK25:AN25"/>
    <mergeCell ref="AK26:AL26"/>
    <mergeCell ref="AE186:AG186"/>
    <mergeCell ref="AE187:AF187"/>
    <mergeCell ref="AN186:AP186"/>
    <mergeCell ref="AN187:AO187"/>
    <mergeCell ref="AO25:AR25"/>
    <mergeCell ref="AO26:AP26"/>
    <mergeCell ref="AK186:AM186"/>
    <mergeCell ref="AK187:AL187"/>
    <mergeCell ref="U3:W3"/>
    <mergeCell ref="Y187:Z187"/>
    <mergeCell ref="L3:N3"/>
    <mergeCell ref="O3:Q3"/>
    <mergeCell ref="E26:E27"/>
    <mergeCell ref="M26:N26"/>
    <mergeCell ref="R3:T3"/>
    <mergeCell ref="R4:S4"/>
    <mergeCell ref="O4:P4"/>
    <mergeCell ref="L4:M4"/>
    <mergeCell ref="Q25:T25"/>
    <mergeCell ref="C25:L25"/>
    <mergeCell ref="C4:C5"/>
    <mergeCell ref="M25:P25"/>
    <mergeCell ref="C3:K3"/>
    <mergeCell ref="C339:T339"/>
    <mergeCell ref="C321:T321"/>
    <mergeCell ref="C300:K300"/>
    <mergeCell ref="D4:D5"/>
    <mergeCell ref="C248:J248"/>
    <mergeCell ref="C220:J220"/>
    <mergeCell ref="C292:J292"/>
    <mergeCell ref="C201:I201"/>
    <mergeCell ref="C186:I186"/>
    <mergeCell ref="E4:E5"/>
    <mergeCell ref="I4:I5"/>
    <mergeCell ref="J26:J27"/>
    <mergeCell ref="J4:J5"/>
    <mergeCell ref="H4:H5"/>
    <mergeCell ref="K4:K5"/>
    <mergeCell ref="H26:H27"/>
    <mergeCell ref="J187:K187"/>
    <mergeCell ref="J186:L186"/>
    <mergeCell ref="Q26:R26"/>
    <mergeCell ref="M186:O186"/>
    <mergeCell ref="P186:R186"/>
    <mergeCell ref="C26:C27"/>
    <mergeCell ref="G26:G27"/>
    <mergeCell ref="M187:N187"/>
    <mergeCell ref="C341:T341"/>
    <mergeCell ref="G4:G5"/>
    <mergeCell ref="F4:F5"/>
    <mergeCell ref="F26:F27"/>
    <mergeCell ref="I26:I27"/>
    <mergeCell ref="D26:D27"/>
    <mergeCell ref="C230:I230"/>
    <mergeCell ref="C333:T333"/>
    <mergeCell ref="C335:T335"/>
    <mergeCell ref="C323:T323"/>
    <mergeCell ref="H301:I301"/>
    <mergeCell ref="H316:I316"/>
    <mergeCell ref="E301:E302"/>
    <mergeCell ref="K26:L26"/>
    <mergeCell ref="C320:U320"/>
    <mergeCell ref="C337:T337"/>
    <mergeCell ref="C331:T331"/>
    <mergeCell ref="C322:T322"/>
    <mergeCell ref="D301:D302"/>
    <mergeCell ref="C329:T329"/>
    <mergeCell ref="G301:G302"/>
    <mergeCell ref="J301:K301"/>
    <mergeCell ref="C325:T325"/>
    <mergeCell ref="C301:C302"/>
    <mergeCell ref="AG25:AJ25"/>
    <mergeCell ref="AG26:AH26"/>
    <mergeCell ref="X4:Y4"/>
    <mergeCell ref="AC25:AF25"/>
    <mergeCell ref="AC26:AD26"/>
    <mergeCell ref="Y25:AB25"/>
    <mergeCell ref="Y26:Z26"/>
    <mergeCell ref="U25:X25"/>
    <mergeCell ref="AD3:AF3"/>
    <mergeCell ref="AD4:AE4"/>
    <mergeCell ref="U4:V4"/>
    <mergeCell ref="V187:W187"/>
    <mergeCell ref="S186:U186"/>
    <mergeCell ref="V186:X186"/>
    <mergeCell ref="U26:V26"/>
    <mergeCell ref="AA3:AC3"/>
    <mergeCell ref="AA4:AB4"/>
    <mergeCell ref="AB187:AC187"/>
    <mergeCell ref="Y186:AA186"/>
    <mergeCell ref="AB186:AD186"/>
    <mergeCell ref="X3:Z3"/>
  </mergeCells>
  <hyperlinks>
    <hyperlink ref="C6" r:id="rId1" location="page=103" display="https://spruceblob01.blob.core.windows.net/stwpnjeda/pdfs/agendas/06122012agenda.pdf - page=103" xr:uid="{00000000-0004-0000-0000-000000000000}"/>
    <hyperlink ref="C203" r:id="rId2" location="page=96" display="https://spruceblob01.blob.core.windows.net/stwpnjeda/web/pdf/EDA/110911fullagenda.pdf - page=96" xr:uid="{00000000-0004-0000-0000-000001000000}"/>
    <hyperlink ref="C204" r:id="rId3" location="page=76" display="https://spruceblob01.blob.core.windows.net/stwpnjeda/pdfs/agendas/03152012agenda.pdf - page=76" xr:uid="{00000000-0004-0000-0000-000002000000}"/>
    <hyperlink ref="C205" r:id="rId4" location="page=132" display="https://spruceblob01.blob.core.windows.net/stwpnjeda/pdfs/agendas/12132011agenda.pdf - page=132" xr:uid="{00000000-0004-0000-0000-000003000000}"/>
    <hyperlink ref="C28" r:id="rId5" location="page=232" display="WebiMax LLC  *" xr:uid="{00000000-0004-0000-0000-000004000000}"/>
    <hyperlink ref="C29" r:id="rId6" location="page=185" display="Cooper Health System" xr:uid="{00000000-0004-0000-0000-000005000000}"/>
    <hyperlink ref="C32" r:id="rId7" location="page=67" display="https://spruceblob01.blob.core.windows.net/stwpnjeda/pdfs/agendas/1142014agenda.pdf - page=67" xr:uid="{00000000-0004-0000-0000-000006000000}"/>
    <hyperlink ref="C34" r:id="rId8" location="page=78" display="https://spruceblob01.blob.core.windows.net/stwpnjeda/pdfs/agendas/6102014agenda.pdf - page=78" xr:uid="{00000000-0004-0000-0000-000007000000}"/>
    <hyperlink ref="C38" r:id="rId9" location="page=98" display="https://spruceblob01.blob.core.windows.net/stwpnjeda/pdfs/agendas/09112014Agenda.pdf - page=98" xr:uid="{00000000-0004-0000-0000-000008000000}"/>
    <hyperlink ref="C189" r:id="rId10" location="page=182" xr:uid="{00000000-0004-0000-0000-000009000000}"/>
    <hyperlink ref="C191" r:id="rId11" location="page=5" display="https://spruceblob01.blob.core.windows.net/stwpnjeda/pdfs/agendas/120110_agendafull.pdf - page=5" xr:uid="{00000000-0004-0000-0000-00000A000000}"/>
    <hyperlink ref="C192" r:id="rId12" xr:uid="{00000000-0004-0000-0000-00000B000000}"/>
    <hyperlink ref="C190" r:id="rId13" location="page=56" display="https://spruceblob01.blob.core.windows.net/stwpnjeda/pdfs/agendas/October112011BoardMeetingagenda.pdf - page=56" xr:uid="{00000000-0004-0000-0000-00000C000000}"/>
    <hyperlink ref="C193" r:id="rId14" display="https://spruceblob01.blob.core.windows.net/stwpnjeda/pdfs/agendas/06012012agenda.pdf" xr:uid="{00000000-0004-0000-0000-00000D000000}"/>
    <hyperlink ref="C8" r:id="rId15" location="page=79" display="https://spruceblob01.blob.core.windows.net/stwpnjeda/pdfs/agendas/08142012.pdf - page=79" xr:uid="{00000000-0004-0000-0000-00000E000000}"/>
    <hyperlink ref="C9" r:id="rId16" location="page=174" display="https://spruceblob01.blob.core.windows.net/stwpnjeda/pdfs/agendas/04102012agenda.pdf - page=174" xr:uid="{00000000-0004-0000-0000-00000F000000}"/>
    <hyperlink ref="C39" r:id="rId17" location="page=118" display="Principis Capital LLC" xr:uid="{00000000-0004-0000-0000-000010000000}"/>
    <hyperlink ref="C7" r:id="rId18" location="page=82" display="https://spruceblob01.blob.core.windows.net/stwpnjeda/pdfs/agendas/09122013agenda.pdf - page=82" xr:uid="{00000000-0004-0000-0000-000011000000}"/>
    <hyperlink ref="C30" r:id="rId19" location="page=74" display="https://spruceblob01.blob.core.windows.net/stwpnjeda/pdfs/agendas/6102014agenda.pdf - page=74" xr:uid="{00000000-0004-0000-0000-000012000000}"/>
    <hyperlink ref="C33" r:id="rId20" location="page=235" display="https://spruceblob01.blob.core.windows.net/stwpnjeda/pdfs/agendas/5162014agenda.pdf - page=235" xr:uid="{00000000-0004-0000-0000-000013000000}"/>
    <hyperlink ref="C35" r:id="rId21" location="page=106" display="https://spruceblob01.blob.core.windows.net/stwpnjeda/pdfs/agendas/7102014agenda.pdf - page=106" xr:uid="{00000000-0004-0000-0000-000014000000}"/>
    <hyperlink ref="C36" r:id="rId22" location="page=206" display="https://spruceblob01.blob.core.windows.net/stwpnjeda/pdfs/agendas/10142014Agenda.pdf - page=206" xr:uid="{00000000-0004-0000-0000-000015000000}"/>
    <hyperlink ref="C40" r:id="rId23" location="page=259" display="https://spruceblob01.blob.core.windows.net/stwpnjeda/pdfs/agendas/5162014agenda.pdf - page=259" xr:uid="{00000000-0004-0000-0000-000016000000}"/>
    <hyperlink ref="C206" r:id="rId24" location="page=94" display="https://spruceblob01.blob.core.windows.net/stwpnjeda/pdfs/agendas/02142012agenda.pdf - page=94" xr:uid="{00000000-0004-0000-0000-000017000000}"/>
    <hyperlink ref="C31" r:id="rId25" location="page=35" display="https://spruceblob01.blob.core.windows.net/stwpnjeda/pdfs/agendas/02262015Agenda.pdf - page=35" xr:uid="{00000000-0004-0000-0000-000018000000}"/>
    <hyperlink ref="C37" r:id="rId26" location="page=210" display="https://spruceblob01.blob.core.windows.net/stwpnjeda/pdfs/agendas/10142014Agenda.pdf - page=210" xr:uid="{00000000-0004-0000-0000-000019000000}"/>
    <hyperlink ref="C10" r:id="rId27" location="page=50" display="https://spruceblob01.blob.core.windows.net/stwpnjeda/web/pdf/EDA/03142013agenda.pdf - page=50" xr:uid="{00000000-0004-0000-0000-00001A000000}"/>
    <hyperlink ref="C194" r:id="rId28" location="page=72" display="https://spruceblob01.blob.core.windows.net/stwpnjeda/pdfs/agendas/05082012pa.pdf - page=72" xr:uid="{00000000-0004-0000-0000-00001B000000}"/>
    <hyperlink ref="C195" r:id="rId29" location="page=107" display="https://spruceblob01.blob.core.windows.net/stwpnjeda/pdfs/agendas/August2010BoardMeetingAgenda.pdf - page=107" xr:uid="{00000000-0004-0000-0000-00001C000000}"/>
    <hyperlink ref="C196" r:id="rId30" location="page=111" display="https://spruceblob01.blob.core.windows.net/stwpnjeda/pdfs/agendas/August2010BoardMeetingAgenda.pdf - page=111" xr:uid="{00000000-0004-0000-0000-00001D000000}"/>
    <hyperlink ref="C41" r:id="rId31" location="page=40" display="Contemporary Graphics and Bindery, Inc. and Affiliates *" xr:uid="{00000000-0004-0000-0000-00001E000000}"/>
    <hyperlink ref="C42" r:id="rId32" location="page=253" display="https://spruceblob01.blob.core.windows.net/stwpnjeda/pdfs/agendas/5162014agenda.pdf - page=253" xr:uid="{00000000-0004-0000-0000-00001F000000}"/>
    <hyperlink ref="C43" r:id="rId33" location="page=49" display="https://spruceblob01.blob.core.windows.net/stwpnjeda/pdfs/agendas/11132015_agenda.pdf - page=49" xr:uid="{00000000-0004-0000-0000-000020000000}"/>
    <hyperlink ref="C44" r:id="rId34" location="page=90" xr:uid="{00000000-0004-0000-0000-000021000000}"/>
    <hyperlink ref="C45" r:id="rId35" location="page=226" display="https://spruceblob01.blob.core.windows.net/stwpnjeda/pdfs/agendas/10142014Agenda.pdf - page=226" xr:uid="{00000000-0004-0000-0000-000022000000}"/>
    <hyperlink ref="C46" r:id="rId36" location="page=241" xr:uid="{00000000-0004-0000-0000-000023000000}"/>
    <hyperlink ref="C47" r:id="rId37" location="page=92" display="https://spruceblob01.blob.core.windows.net/stwpnjeda/pdfs/agendas/01122016_Agenda.pdf - page=92" xr:uid="{00000000-0004-0000-0000-000024000000}"/>
    <hyperlink ref="C48" r:id="rId38" xr:uid="{00000000-0004-0000-0000-000025000000}"/>
    <hyperlink ref="C197" r:id="rId39" location="page=125" display="https://spruceblob01.blob.core.windows.net/stwpnjeda/pdfs/agendas/February2011BoardAgenda.pdf - page=125" xr:uid="{00000000-0004-0000-0000-000026000000}"/>
    <hyperlink ref="C198" r:id="rId40" location="page=91" display="https://spruceblob01.blob.core.windows.net/stwpnjeda/pdfs/agendas/06122012agenda.pdf - page=91" xr:uid="{00000000-0004-0000-0000-000027000000}"/>
    <hyperlink ref="C207" r:id="rId41" location="page=56" display="https://spruceblob01.blob.core.windows.net/stwpnjeda/pdfs/agendas/04092013agenda.pdf - page=56" xr:uid="{00000000-0004-0000-0000-000028000000}"/>
    <hyperlink ref="C208" r:id="rId42" location="page=93" display="https://spruceblob01.blob.core.windows.net/stwpnjeda/pdfs/agendas/publicagenda01172012.pdf - page=93" xr:uid="{00000000-0004-0000-0000-000029000000}"/>
    <hyperlink ref="C11" r:id="rId43" location="page=168" display="https://spruceblob01.blob.core.windows.net/stwpnjeda/pdfs/agendas/04102012agenda.pdf - page=168" xr:uid="{00000000-0004-0000-0000-00002A000000}"/>
    <hyperlink ref="C12" r:id="rId44" location="page=78" display="https://spruceblob01.blob.core.windows.net/stwpnjeda/pdfs/agendas/06112013agenda.pdf - page=78" xr:uid="{00000000-0004-0000-0000-00002B000000}"/>
    <hyperlink ref="C49" r:id="rId45" location="page=211" display="https://spruceblob01.blob.core.windows.net/stwpnjeda/pdfs/agendas/12092014Agenda.pdf - page=211" xr:uid="{00000000-0004-0000-0000-00002C000000}"/>
    <hyperlink ref="C50" r:id="rId46" location="page=62" display="https://spruceblob01.blob.core.windows.net/stwpnjeda/pdfs/agendas/02092016_Agenda.pdf - page=62" xr:uid="{00000000-0004-0000-0000-00002D000000}"/>
    <hyperlink ref="C209" r:id="rId47" location="page=84" display="https://spruceblob01.blob.core.windows.net/stwpnjeda/pdfs/agendas/10082013agenda.pdf - page=84" xr:uid="{00000000-0004-0000-0000-00002E000000}"/>
    <hyperlink ref="C232" r:id="rId48" location="page=197" xr:uid="{00000000-0004-0000-0000-00002F000000}"/>
    <hyperlink ref="C233" r:id="rId49" location="page=108" display="https://spruceblob01.blob.core.windows.net/stwpnjeda/pdfs/agendas/February2011BoardAgenda.pdf - page=108" xr:uid="{00000000-0004-0000-0000-000030000000}"/>
    <hyperlink ref="C234" r:id="rId50" location="page=106" display="https://spruceblob01.blob.core.windows.net/stwpnjeda/pdfs/agendas/09132012.pdf - page=106" xr:uid="{00000000-0004-0000-0000-000031000000}"/>
    <hyperlink ref="C235" r:id="rId51" location="page=75" display="https://spruceblob01.blob.core.windows.net/stwpnjeda/web/pdf/EDA/110911fullagenda.pdf - page=75" xr:uid="{00000000-0004-0000-0000-000032000000}"/>
    <hyperlink ref="C236" r:id="rId52" location="page=71" display="https://spruceblob01.blob.core.windows.net/stwpnjeda/pdfs/agendas/february2010BoardAgenda.pdf - page=71" xr:uid="{00000000-0004-0000-0000-000033000000}"/>
    <hyperlink ref="C238" r:id="rId53" display="https://spruceblob01.blob.core.windows.net/stwpnjeda/pdfs/agendas/102010_agendafull.pdf" xr:uid="{00000000-0004-0000-0000-000034000000}"/>
    <hyperlink ref="C237" r:id="rId54" location="page=81" display="https://spruceblob01.blob.core.windows.net/stwpnjeda/pdfs/agendas/02142012agenda.pdf - page=81" xr:uid="{00000000-0004-0000-0000-000035000000}"/>
    <hyperlink ref="C239" r:id="rId55" location="page=109" display="https://spruceblob01.blob.core.windows.net/stwpnjeda/pdfs/agendas/September162010BoardMeetingAgenda.pdf - page=109" xr:uid="{00000000-0004-0000-0000-000036000000}"/>
    <hyperlink ref="C63" r:id="rId56" location="page=25" display="https://spruceblob01.blob.core.windows.net/stwpnjeda/pdfs/agendas/04122016_agenda.pdf - page=25" xr:uid="{00000000-0004-0000-0000-000037000000}"/>
    <hyperlink ref="C65" r:id="rId57" location="page=68" display="FXDirectDealer, LLC " xr:uid="{00000000-0004-0000-0000-000039000000}"/>
    <hyperlink ref="C66" r:id="rId58" xr:uid="{00000000-0004-0000-0000-00003A000000}"/>
    <hyperlink ref="C67" r:id="rId59" location="page=63" display="https://spruceblob01.blob.core.windows.net/stwpnjeda/pdfs/agendas/11132015_agenda.pdf - page=63" xr:uid="{00000000-0004-0000-0000-00003B000000}"/>
    <hyperlink ref="C68" r:id="rId60" location="page=49" display="https://spruceblob01.blob.core.windows.net/stwpnjeda/pdfs/agendas/02142017_agenda.pdf - page=49" xr:uid="{00000000-0004-0000-0000-00003C000000}"/>
    <hyperlink ref="C69" r:id="rId61" location="page=90" display="https://spruceblob01.blob.core.windows.net/stwpnjeda/pdfs/agendas/6102014agenda.pdf - page=90" xr:uid="{00000000-0004-0000-0000-00003D000000}"/>
    <hyperlink ref="C71" r:id="rId62" location="page=60" display="https://spruceblob01.blob.core.windows.net/stwpnjeda/pdfs/agendas/02142017_agenda.pdf - page=60" xr:uid="{00000000-0004-0000-0000-00003E000000}"/>
    <hyperlink ref="C210" r:id="rId63" location="page=92" display="https://spruceblob01.blob.core.windows.net/stwpnjeda/pdfs/agendas/10082013agenda.pdf - page=92" xr:uid="{00000000-0004-0000-0000-00003F000000}"/>
    <hyperlink ref="C211" r:id="rId64" location="page=67" display="https://spruceblob01.blob.core.windows.net/stwpnjeda/pdfs/agendas/04092013agenda.pdf - page=67" xr:uid="{00000000-0004-0000-0000-000040000000}"/>
    <hyperlink ref="C212" r:id="rId65" location="page=101" display="https://spruceblob01.blob.core.windows.net/stwpnjeda/pdfs/agendas/12102013agenda.pdf - page=101" xr:uid="{00000000-0004-0000-0000-000041000000}"/>
    <hyperlink ref="C240" r:id="rId66" location="page=70" display="https://spruceblob01.blob.core.windows.net/stwpnjeda/pdfs/agendas/10082013agenda.pdf - page=70" xr:uid="{00000000-0004-0000-0000-000043000000}"/>
    <hyperlink ref="C15" r:id="rId67" location="page=109" display="https://spruceblob01.blob.core.windows.net/stwpnjeda/pdfs/agendas/12102013agenda.pdf - page=109" xr:uid="{00000000-0004-0000-0000-000045000000}"/>
    <hyperlink ref="C72" r:id="rId68" xr:uid="{00000000-0004-0000-0000-000046000000}"/>
    <hyperlink ref="C73" r:id="rId69" location="page=102" display="https://spruceblob01.blob.core.windows.net/stwpnjeda/pdfs/agendas/7102014agenda.pdf - page=102" xr:uid="{00000000-0004-0000-0000-000047000000}"/>
    <hyperlink ref="C74" r:id="rId70" location="page=73" display="https://spruceblob01.blob.core.windows.net/stwpnjeda/pdfs/agendas/07142016_agenda.pdf - page=73" xr:uid="{00000000-0004-0000-0000-000048000000}"/>
    <hyperlink ref="C75" r:id="rId71" xr:uid="{00000000-0004-0000-0000-000049000000}"/>
    <hyperlink ref="C76" r:id="rId72" xr:uid="{00000000-0004-0000-0000-00004A000000}"/>
    <hyperlink ref="C77" r:id="rId73" location="page=152" display="https://spruceblob01.blob.core.windows.net/stwpnjeda/pdfs/agendas/04122015_Agenda.pdf - page=152" xr:uid="{00000000-0004-0000-0000-00004B000000}"/>
    <hyperlink ref="C294" r:id="rId74" location="page=28" display="https://spruceblob01.blob.core.windows.net/stwpnjeda/pdfs/agendas/03122015_Agenda.pdf - page=28" xr:uid="{00000000-0004-0000-0000-00004C000000}"/>
    <hyperlink ref="C295" r:id="rId75" location="page=30" display="https://spruceblob01.blob.core.windows.net/stwpnjeda/pdfs/agendas/03122015_Agenda.pdf - page=30" xr:uid="{00000000-0004-0000-0000-00004D000000}"/>
    <hyperlink ref="C296" r:id="rId76" location="page=32" display="https://spruceblob01.blob.core.windows.net/stwpnjeda/pdfs/agendas/03122015_Agenda.pdf - page=32" xr:uid="{00000000-0004-0000-0000-00004E000000}"/>
    <hyperlink ref="C250" r:id="rId77" location="page=15" display="https://spruceblob01.blob.core.windows.net/stwpnjeda/pdfs/agendas/2242014agenda.pdf - page=15" xr:uid="{00000000-0004-0000-0000-00004F000000}"/>
    <hyperlink ref="C251" r:id="rId78" location="page=22" display="https://spruceblob01.blob.core.windows.net/stwpnjeda/pdfs/agendas/2242014agenda.pdf - page=22" xr:uid="{00000000-0004-0000-0000-000050000000}"/>
    <hyperlink ref="C253" r:id="rId79" location="page=194" display="https://spruceblob01.blob.core.windows.net/stwpnjeda/pdfs/agendas/5162014agenda.pdf - page=194" xr:uid="{00000000-0004-0000-0000-000051000000}"/>
    <hyperlink ref="C252" r:id="rId80" location="page=84" display="https://spruceblob01.blob.core.windows.net/stwpnjeda/pdfs/agendas/2112014agenda.pdf - page=84" xr:uid="{00000000-0004-0000-0000-000052000000}"/>
    <hyperlink ref="C254" r:id="rId81" location="page=23" display="https://spruceblob01.blob.core.windows.net/stwpnjeda/pdfs/agendas/02262015Agenda.pdf - page=23" xr:uid="{00000000-0004-0000-0000-000053000000}"/>
    <hyperlink ref="C255" r:id="rId82" location="page=23" display="https://spruceblob01.blob.core.windows.net/stwpnjeda/pdfs/agendas/02262015Agenda.pdf - page=23" xr:uid="{00000000-0004-0000-0000-000054000000}"/>
    <hyperlink ref="C256" r:id="rId83" location="page=68" display="https://spruceblob01.blob.core.windows.net/stwpnjeda/web/pdf/11102014_Agenda.pdf - page=68" xr:uid="{00000000-0004-0000-0000-000055000000}"/>
    <hyperlink ref="C257" r:id="rId84" location="page=72" display="https://spruceblob01.blob.core.windows.net/stwpnjeda/pdfs/agendas/7102014agenda.pdf - page=72" xr:uid="{00000000-0004-0000-0000-000056000000}"/>
    <hyperlink ref="C260" r:id="rId85" location="page=78" display="https://spruceblob01.blob.core.windows.net/stwpnjeda/pdfs/agendas/7102014agenda.pdf - page=78" xr:uid="{00000000-0004-0000-0000-000057000000}"/>
    <hyperlink ref="C258" r:id="rId86" location="page=47" xr:uid="{00000000-0004-0000-0000-000058000000}"/>
    <hyperlink ref="C261" r:id="rId87" location="page=22" display="Carver Hall Urban Renewal, LP *" xr:uid="{00000000-0004-0000-0000-000059000000}"/>
    <hyperlink ref="C259" r:id="rId88" location="page=18" display="7 Long Street Doddtown LLC *" xr:uid="{00000000-0004-0000-0000-00005A000000}"/>
    <hyperlink ref="C262" r:id="rId89" location="page=20" display="https://spruceblob01.blob.core.windows.net/stwpnjeda/pdfs/agendas/03122015_Agenda.pdf - page=20" xr:uid="{00000000-0004-0000-0000-00005B000000}"/>
    <hyperlink ref="C78" r:id="rId90" location="page=56" display="https://spruceblob01.blob.core.windows.net/stwpnjeda/pdfs/agendas/01122016_Agenda.pdf - page=56" xr:uid="{00000000-0004-0000-0000-00005C000000}"/>
    <hyperlink ref="C79" r:id="rId91" location="page=215" display="https://spruceblob01.blob.core.windows.net/stwpnjeda/pdfs/agendas/5162014agenda.pdf - page=215" xr:uid="{00000000-0004-0000-0000-00005D000000}"/>
    <hyperlink ref="C80" r:id="rId92" xr:uid="{00000000-0004-0000-0000-00005E000000}"/>
    <hyperlink ref="C81" r:id="rId93" location="page=51" display="Groupe SEB USA *" xr:uid="{00000000-0004-0000-0000-00005F000000}"/>
    <hyperlink ref="C82" r:id="rId94" location="page=166" display="https://spruceblob01.blob.core.windows.net/stwpnjeda/pdfs/agendas/06142016_agenda.pdf - page=166" xr:uid="{00000000-0004-0000-0000-000060000000}"/>
    <hyperlink ref="C83" r:id="rId95" location="page=76" display="https://spruceblob01.blob.core.windows.net/stwpnjeda/pdfs/agendas/07092015_EDAAgenda.pdf - page=76" xr:uid="{00000000-0004-0000-0000-000061000000}"/>
    <hyperlink ref="C84" r:id="rId96" display="https://spruceblob01.blob.core.windows.net/stwpnjeda/pdfs/mods/LI2000" xr:uid="{00000000-0004-0000-0000-000062000000}"/>
    <hyperlink ref="C85" r:id="rId97" location="page=86" display="https://spruceblob01.blob.core.windows.net/stwpnjeda/pdfs/agendas/01122016_Agenda.pdf - page=86" xr:uid="{00000000-0004-0000-0000-000063000000}"/>
    <hyperlink ref="C213" r:id="rId98" location="page=100" display="https://spruceblob01.blob.core.windows.net/stwpnjeda/pdfs/agendas/publicagenda01172012.pdf - page=100" xr:uid="{00000000-0004-0000-0000-000064000000}"/>
    <hyperlink ref="C264" r:id="rId99" location="page=74" display="Chambers Crescent, LLC" xr:uid="{00000000-0004-0000-0000-000065000000}"/>
    <hyperlink ref="C265" r:id="rId100" location="page=32" xr:uid="{00000000-0004-0000-0000-000066000000}"/>
    <hyperlink ref="C266" r:id="rId101" location="page=42" xr:uid="{00000000-0004-0000-0000-000067000000}"/>
    <hyperlink ref="C267" r:id="rId102" location="page=76" display="Roseville Avenue Redevelopment Urban Renewal LLC &amp; Greater Bergen Community Action Agency *" xr:uid="{00000000-0004-0000-0000-000068000000}"/>
    <hyperlink ref="C263" r:id="rId103" location="page=163" display="https://spruceblob01.blob.core.windows.net/stwpnjeda/pdfs/agendas/12092014Agenda.pdf - page=163" xr:uid="{00000000-0004-0000-0000-000069000000}"/>
    <hyperlink ref="C86" r:id="rId104" location="page=222" display="https://spruceblob01.blob.core.windows.net/stwpnjeda/pdfs/agendas/10142014Agenda.pdf - page=222" xr:uid="{00000000-0004-0000-0000-00006A000000}"/>
    <hyperlink ref="C87" r:id="rId105" location="page=76" display="https://spruceblob01.blob.core.windows.net/stwpnjeda/pdfs/agendas/09112014Agenda.pdf - page=76" xr:uid="{00000000-0004-0000-0000-00006B000000}"/>
    <hyperlink ref="C88" r:id="rId106" location="page=58" display="Comar Holding Company, LLC and subsidiaries " xr:uid="{00000000-0004-0000-0000-00006C000000}"/>
    <hyperlink ref="C89" r:id="rId107" location="page=74" display="https://spruceblob01.blob.core.windows.net/stwpnjeda/pdfs/agendas/11132015_agenda.pdf - page=74" xr:uid="{00000000-0004-0000-0000-00006D000000}"/>
    <hyperlink ref="C90" r:id="rId108" location="page=82" display="Kering Eyewear USA, Inc." xr:uid="{00000000-0004-0000-0000-00006E000000}"/>
    <hyperlink ref="C268" r:id="rId109" location="page=16" display="https://spruceblob01.blob.core.windows.net/stwpnjeda/pdfs/agendas/02092016_Agenda.pdf - page=16" xr:uid="{00000000-0004-0000-0000-00006F000000}"/>
    <hyperlink ref="C91" r:id="rId110" location="page=55" display="https://spruceblob01.blob.core.windows.net/stwpnjeda/pdfs/agendas/12082015_Agenda.pdf - page=55" xr:uid="{00000000-0004-0000-0000-000070000000}"/>
    <hyperlink ref="C92" r:id="rId111" location="page=41" display="https://spruceblob01.blob.core.windows.net/stwpnjeda/pdfs/agendas/12132016_agenda.pdf - page=41" xr:uid="{00000000-0004-0000-0000-000071000000}"/>
    <hyperlink ref="C269" r:id="rId112" location="page=4" display="https://spruceblob01.blob.core.windows.net/stwpnjeda/pdfs/agendas/05292015_Agenda.pdf - page=4" xr:uid="{00000000-0004-0000-0000-000073000000}"/>
    <hyperlink ref="C270" r:id="rId113" location="page=22" display="https://spruceblob01.blob.core.windows.net/stwpnjeda/pdfs/agendas/01122016_Agenda.pdf - page=22" xr:uid="{00000000-0004-0000-0000-000074000000}"/>
    <hyperlink ref="C271" r:id="rId114" location="page=30" display="https://spruceblob01.blob.core.windows.net/stwpnjeda/pdfs/agendas/01122016_Agenda.pdf - page=30" xr:uid="{00000000-0004-0000-0000-000075000000}"/>
    <hyperlink ref="C273" r:id="rId115" location="page=23" display="Beachway Urban Renewal Associates, L.P. and Life Management, Inc. *" xr:uid="{00000000-0004-0000-0000-000077000000}"/>
    <hyperlink ref="C272" r:id="rId116" location="page=38" display="https://spruceblob01.blob.core.windows.net/stwpnjeda/pdfs/agendas/01122016_Agenda.pdf - page=38" xr:uid="{00000000-0004-0000-0000-000078000000}"/>
    <hyperlink ref="C93" r:id="rId117" location="page=44" display="https://spruceblob01.blob.core.windows.net/stwpnjeda/pdfs/agendas/10142016_agenda.pdf - page=44" xr:uid="{A3DE1B4B-D8D6-415A-B53B-486509F7FD78}"/>
    <hyperlink ref="C214" r:id="rId118" location="page=224" display="https://spruceblob01.blob.core.windows.net/stwpnjeda/pdfs/agendas/11152013agenda.pdf - page=224" xr:uid="{1657229D-9157-4C2E-88A8-CAD29F368AA7}"/>
    <hyperlink ref="C222" r:id="rId119" location="page=47" display="DVL, Inc. *" xr:uid="{B6CF3B62-F8B9-4824-B032-C431C0DAB07E}"/>
    <hyperlink ref="C241" r:id="rId120" location="page=131" display="https://spruceblob01.blob.core.windows.net/stwpnjeda/pdfs/agendas/12112012agenda.pdf - page=131" xr:uid="{DF407B91-2287-4A26-BADB-769BE1514E9D}"/>
    <hyperlink ref="C98" r:id="rId121" location="page=68" display="https://spruceblob01.blob.core.windows.net/stwpnjeda/web/pdf/05152015_Agenda.pdf - page=68" xr:uid="{A6E5FB7A-CCF6-4CAE-96A2-421636D2297E}"/>
    <hyperlink ref="C99" r:id="rId122" location="page=23" display="https://spruceblob01.blob.core.windows.net/stwpnjeda/pdfs/agendas/10142016_agenda.pdf - page=23" xr:uid="{9F5D486C-D25E-4039-83CB-3F6AC8A81780}"/>
    <hyperlink ref="C100" r:id="rId123" location="page=28" display="https://spruceblob01.blob.core.windows.net/stwpnjeda/pdfs/agendas/01102017_agenda.pdf - page=28" xr:uid="{C71AC41A-9A74-4E76-9ADA-74C83957429D}"/>
    <hyperlink ref="C101" r:id="rId124" location="page=47" display="https://spruceblob01.blob.core.windows.net/stwpnjeda/pdfs/agendas/09092016_agenda.pdf - page=47" xr:uid="{19FE12C2-53F5-4D31-B0B7-B8ACFA8FE1BE}"/>
    <hyperlink ref="C215" r:id="rId125" location="page=98" display="https://spruceblob01.blob.core.windows.net/stwpnjeda/pdfs/agendas/10082013agenda.pdf - page=98" xr:uid="{F78222EB-5786-435B-A1D7-C4F5C023F3F2}"/>
    <hyperlink ref="C216" r:id="rId126" location="page=162" display="https://spruceblob01.blob.core.windows.net/stwpnjeda/pdfs/agendas/04102012agenda.pdf - page=162" xr:uid="{3034258D-E582-463F-A9E3-F36DE3C63D8F}"/>
    <hyperlink ref="C223" r:id="rId127" location="page=74" display="https://spruceblob01.blob.core.windows.net/stwpnjeda/web/pdf/EDA/01132015Agenda.pdf - page=74" xr:uid="{9649B0AA-BE3A-4654-8990-5EB2BF690017}"/>
    <hyperlink ref="C274" r:id="rId128" location="page=48" display="https://spruceblob01.blob.core.windows.net/stwpnjeda/pdfs/agendas/07092015_EDAAgenda.pdf - page=48" xr:uid="{E81D7236-869A-4D99-AEE7-69E94F9F1E21}"/>
    <hyperlink ref="C275" r:id="rId129" location="page=24" display="https://spruceblob01.blob.core.windows.net/stwpnjeda/pdfs/agendas/02092016_Agenda.pdf - page=24" xr:uid="{8B156B7C-38C9-49C6-9597-CCFB0836C100}"/>
    <hyperlink ref="C242" r:id="rId130" location="page=152" display="https://spruceblob01.blob.core.windows.net/stwpnjeda/pdfs/agendas/04102012agenda.pdf - page=152" xr:uid="{58117C4E-BD3B-460C-8704-65BF19E2FDED}"/>
    <hyperlink ref="C243" r:id="rId131" location="page=78" display="https://spruceblob01.blob.core.windows.net/stwpnjeda/pdfs/agendas/06122012agenda.pdf - page=78" xr:uid="{D8E918F6-2B1B-41A2-995B-8ED494535E70}"/>
    <hyperlink ref="C102" r:id="rId132" location="page=38" display="https://spruceblob01.blob.core.windows.net/stwpnjeda/pdfs/agendas/07142016_agenda.pdf - page=38" xr:uid="{89B259FE-52E2-441F-A38F-B872D729894E}"/>
    <hyperlink ref="C13" r:id="rId133" location="page=101" display="https://spruceblob01.blob.core.windows.net/stwpnjeda/pdfs/agendas/06122012agenda.pdf - page=101" xr:uid="{00000000-0004-0000-0000-000005000000}"/>
    <hyperlink ref="C14" r:id="rId134" location="page=170" display="https://spruceblob01.blob.core.windows.net/stwpnjeda/pdfs/agendas/04102012agenda.pdf - page=170" xr:uid="{00000000-0004-0000-0000-000002000000}"/>
    <hyperlink ref="C16" r:id="rId135" location="page=81" display="https://spruceblob01.blob.core.windows.net/stwpnjeda/pdfs/agendas/08142012.pdf - page=81" xr:uid="{00000000-0004-0000-0000-00000A000000}"/>
    <hyperlink ref="C51" r:id="rId136" location="page=83" display="https://spruceblob01.blob.core.windows.net/stwpnjeda/web/pdf/EDA/01132015Agenda.pdf - page=83" xr:uid="{00000000-0004-0000-0100-000032000000}"/>
    <hyperlink ref="C52" r:id="rId137" location="page=182" display="https://spruceblob01.blob.core.windows.net/stwpnjeda/pdfs/agendas/10142014Agenda.pdf - page=182" xr:uid="{E0F64CAD-6467-463C-9ACB-C718054A14BE}"/>
    <hyperlink ref="C53" r:id="rId138" location="page=35" display="https://spruceblob01.blob.core.windows.net/stwpnjeda/web/pdf/02262015Agenda.pdf - page=35" xr:uid="{8603D384-5749-42F9-A79C-D4D44629518A}"/>
    <hyperlink ref="C54" r:id="rId139" location="page=76" display="https://spruceblob01.blob.core.windows.net/stwpnjeda/web/pdf/07092015_EDAAgenda.pdf - page=76" xr:uid="{02D21E92-070B-4507-B0AA-6840572493BB}"/>
    <hyperlink ref="C55" r:id="rId140" location="page=100" display="https://spruceblob01.blob.core.windows.net/stwpnjeda/pdfs/agendas/2112014agenda.pdf - page=100" xr:uid="{2A962295-070E-48F8-9775-EE66C83ED8BE}"/>
    <hyperlink ref="C56" r:id="rId141" location="page=73" display="https://spruceblob01.blob.core.windows.net/stwpnjeda/web/pdf/05152015_Agenda.pdf - page=73" xr:uid="{4CB20945-5036-4CA7-A2BC-B6ABA72ABD4B}"/>
    <hyperlink ref="C57" r:id="rId142" location="page=108" display="https://spruceblob01.blob.core.windows.net/stwpnjeda/pdfs/agendas/6102014agenda.pdf - page=108" xr:uid="{279582AF-0265-4310-9286-FDACCA3CDED9}"/>
    <hyperlink ref="C58" r:id="rId143" location="page=94" display="https://spruceblob01.blob.core.windows.net/stwpnjeda/pdfs/agendas/8122014agenda.pdf - page=94" xr:uid="{5798D2E4-239E-40BB-BD18-49EC73E3D39F}"/>
    <hyperlink ref="C59" r:id="rId144" location="page=282" display="https://spruceblob01.blob.core.windows.net/stwpnjeda/pdfs/agendas/482014agenda.pdf - page=282" xr:uid="{0BF40854-54FA-48E6-AF51-35972D78EB82}"/>
    <hyperlink ref="C61" r:id="rId145" location="page=103" display="https://spruceblob01.blob.core.windows.net/stwpnjeda/pdfs/agendas/2112014agenda.pdf - page=103" xr:uid="{C2A9C360-0F17-4FC2-AA39-B5E7DFA15FAB}"/>
    <hyperlink ref="C62" r:id="rId146" location="page=36" display="https://spruceblob01.blob.core.windows.net/stwpnjeda/web/pdf/10152015_Agenda.pdf - page=36" xr:uid="{8D6FE5DA-D0EF-4D0E-A533-01EDAF1D66AA}"/>
    <hyperlink ref="C64" r:id="rId147" location="page=157" display="https://spruceblob01.blob.core.windows.net/stwpnjeda/web/pdf/04122015_Agenda.pdf - page=157" xr:uid="{A3B42B27-D65C-4A00-BAD4-E7A8EBD375E5}"/>
    <hyperlink ref="C70" r:id="rId148" location="page=78" display="https://spruceblob01.blob.core.windows.net/stwpnjeda/pdfs/agendas/07142016_agenda.pdf - page=78" xr:uid="{C7B73BCA-DFC9-44E8-B277-DAB1045FC54A}"/>
    <hyperlink ref="C94" r:id="rId149" location="page=57" display="https://spruceblob01.blob.core.windows.net/stwpnjeda/web/pdf/10152015_Agenda.pdf - page=57" xr:uid="{7AAE43AF-73F3-4EEA-926A-A1DCA4C8DBB3}"/>
    <hyperlink ref="C95" r:id="rId150" xr:uid="{0F7926A0-BFDE-4D1D-93FC-C2E2A65A0726}"/>
    <hyperlink ref="C96" r:id="rId151" location="page=70" display="https://spruceblob01.blob.core.windows.net/stwpnjeda/pdfs/agendas/04122016_agenda.pdf - page=70" xr:uid="{AF7CCB1D-F972-4195-BD00-D2B9D6B248BF}"/>
    <hyperlink ref="C103" r:id="rId152" location="page=99" display="https://spruceblob01.blob.core.windows.net/stwpnjeda/pdfs/agendas/12122017_agenda.pdf - page=99" xr:uid="{4CCC1990-982E-4F3B-9FEE-8DBB762BC1DE}"/>
    <hyperlink ref="C104" r:id="rId153" location="page=179" display="Just Greens, LLC dba Aerofarms" xr:uid="{EB2482F7-DFF9-4CE2-9452-F197530E0396}"/>
    <hyperlink ref="C105" r:id="rId154" location="page=82" display="https://spruceblob01.blob.core.windows.net/stwpnjeda/pdfs/agendas/09112014Agenda.pdf - page=82" xr:uid="{F94F3EF4-B39E-4EBC-9048-1B42AB1240D4}"/>
    <hyperlink ref="C106" r:id="rId155" location="page=42" display="https://spruceblob01.blob.core.windows.net/stwpnjeda/web/pdf/09102015_Agenda.pdf - page=42" xr:uid="{69885590-9660-4BB4-8895-E21D82822F73}"/>
    <hyperlink ref="C107" r:id="rId156" location="page=67" display="https://spruceblob01.blob.core.windows.net/stwpnjeda/web/pdf/09102015_Agenda.pdf - page=67" xr:uid="{7072AA78-5E6A-428B-B0AA-942FADBBBB0B}"/>
    <hyperlink ref="C108" r:id="rId157" location="page=190" display="https://spruceblob01.blob.core.windows.net/stwpnjeda/pdfs/agendas/12092014Agenda.pdf - page=190" xr:uid="{BF9AF270-BACF-430C-B2DE-EAF389BEC344}"/>
    <hyperlink ref="C109" r:id="rId158" location="page=97" display="https://spruceblob01.blob.core.windows.net/stwpnjeda/web/pdf/EDA/01132015Agenda.pdf - page=97" xr:uid="{CAB4B0BE-B431-47DC-9F0B-0FD8016A7551}"/>
    <hyperlink ref="C110" r:id="rId159" location="page=194" display="https://spruceblob01.blob.core.windows.net/stwpnjeda/pdfs/agendas/10142014Agenda.pdf - page=194" xr:uid="{A4A70B50-754E-4361-B67F-659487168655}"/>
    <hyperlink ref="C111" r:id="rId160" location="page=63" display="https://spruceblob01.blob.core.windows.net/stwpnjeda/pdfs/agendas/07142016_agenda.pdf - page=63" xr:uid="{D1294030-0745-44BE-AAB6-5C29CFBF547D}"/>
    <hyperlink ref="C112" r:id="rId161" location="page=47" display="https://spruceblob01.blob.core.windows.net/stwpnjeda/pdfs/agendas/01092018_agenda.pdf - page=47" xr:uid="{7C31939D-FE18-4947-95F6-5BB00EE77441}"/>
    <hyperlink ref="C114" r:id="rId162" location="page=65" display="https://spruceblob01.blob.core.windows.net/stwpnjeda/pdfs/agendas/05132016_agenda.pdf - page=65" xr:uid="{29585953-B9D9-43E1-989C-F80A545028A6}"/>
    <hyperlink ref="C115" r:id="rId163" location="page=94" display="https://spruceblob01.blob.core.windows.net/stwpnjeda/pdfs/agendas/7102014agenda.pdf - page=94" xr:uid="{94C9B2D6-1276-4111-B7D6-92992CA54A54}"/>
    <hyperlink ref="C116" r:id="rId164" location="page=60" display="https://spruceblob01.blob.core.windows.net/stwpnjeda/web/pdf/12082015_Agenda.pdf - page=60" xr:uid="{EF9EFB43-4070-4276-AD60-8DD7E5F02DC4}"/>
    <hyperlink ref="C117" r:id="rId165" location="page=36" display="https://spruceblob01.blob.core.windows.net/stwpnjeda/pdfs/agendas/11142017_agenda.pdf - page=36" xr:uid="{211814CA-370F-43FC-9311-F6BB0BFC2E56}"/>
    <hyperlink ref="C118" r:id="rId166" location="page=62" display="https://spruceblob01.blob.core.windows.net/stwpnjeda/pdfs/agendas/01122016_Agenda.pdf - page=62" xr:uid="{DCCC6B52-000F-49BA-8E0B-E60F13656FFD}"/>
    <hyperlink ref="C119" r:id="rId167" location="page=43" display="https://spruceblob01.blob.core.windows.net/stwpnjeda/pdfs/agendas/11172016_agenda.pdf - page=43" xr:uid="{C7BCDAAD-2E4C-4386-99AE-35966125DDB3}"/>
    <hyperlink ref="C120" r:id="rId168" location="page=78" display="https://spruceblob01.blob.core.windows.net/stwpnjeda/web/pdf/05152015_Agenda.pdf - page=78" xr:uid="{96F4637D-2AF5-4046-ACE0-1B8DB48B1AF5}"/>
    <hyperlink ref="C121" r:id="rId169" location="page=216" display="https://spruceblob01.blob.core.windows.net/stwpnjeda/pdfs/agendas/12092014Agenda.pdf - page=216" xr:uid="{6D138D04-CAFE-410D-8B6A-A6C1A823E0BB}"/>
    <hyperlink ref="C122" r:id="rId170" location="page=65" display="PsychoGenics Inc. (1) *" xr:uid="{39E499F7-890C-4830-92D3-DCDBAD533896}"/>
    <hyperlink ref="C123" r:id="rId171" location="page=53" display="https://spruceblob01.blob.core.windows.net/stwpnjeda/pdfs/agendas/04132017_agenda.pdf - page=53" xr:uid="{6CBECD97-7F1B-40B1-8E1C-3C6756267022}"/>
    <hyperlink ref="C129" r:id="rId172" location="page=53" display="https://spruceblob01.blob.core.windows.net/stwpnjeda/web/pdf/09102015_Agenda.pdf - page=53" xr:uid="{6C79ED80-6415-49C2-BD02-504303B63E7D}"/>
    <hyperlink ref="C130" r:id="rId173" xr:uid="{BE0FC565-F7EA-4F07-8A6E-F24909066D47}"/>
    <hyperlink ref="C131" r:id="rId174" location="page=43" display="https://spruceblob01.blob.core.windows.net/stwpnjeda/pdfs/agendas/04132017_agenda.pdf - page=43" xr:uid="{7BE0A386-48CB-435C-AD80-651CC0F5D87F}"/>
    <hyperlink ref="C132" r:id="rId175" location="page=36" display="https://spruceblob01.blob.core.windows.net/stwpnjeda/pdfs/agendas/08082017_agenda.pdf - page=36" xr:uid="{A06EA1F5-C6EA-4E55-B582-D221BCAE1711}"/>
    <hyperlink ref="C133" r:id="rId176" location="page=55" display="https://spruceblob01.blob.core.windows.net/stwpnjeda/web/pdf/Agenda_06092015.pdf - page=55" xr:uid="{57AFBA01-46C6-4875-B736-A2EF1348C29C}"/>
    <hyperlink ref="C134" r:id="rId177" location="page=56" display="https://spruceblob01.blob.core.windows.net/stwpnjeda/pdfs/agendas/02092016_Agenda.pdf - page=56" xr:uid="{1F8244B8-58CB-4DD8-BC59-9303F1A93273}"/>
    <hyperlink ref="C135" r:id="rId178" location="page=41" display="https://spruceblob01.blob.core.windows.net/stwpnjeda/pdfs/agendas/04122016_agenda.pdf - page=41" xr:uid="{BECC0F58-779E-4CF2-A5ED-63D656F86C28}"/>
    <hyperlink ref="C136" r:id="rId179" location="page=38" display="https://spruceblob01.blob.core.windows.net/stwpnjeda/pdfs/agendas/03112016_agenda.pdf - page=38" xr:uid="{3AA39059-C4E1-43B9-81BE-C770D4FBEF43}"/>
    <hyperlink ref="C224" r:id="rId180" location="page=64" display="https://spruceblob01.blob.core.windows.net/stwpnjeda/pdfs/agendas/09112014Agenda.pdf - page=64" xr:uid="{ADFB4B1E-D6F4-4491-B53C-6145F83F6808}"/>
    <hyperlink ref="C276" r:id="rId181" location="page=15" xr:uid="{F47210B8-8B2D-49B3-8E2E-72FC61A6A59D}"/>
    <hyperlink ref="C277" r:id="rId182" location="page=15agendas/04122015_Agenda.pdf" xr:uid="{9CB70B43-6569-4B2F-9776-526FC0E058AA}"/>
    <hyperlink ref="C279" r:id="rId183" location="page=18" display="https://spruceblob01.blob.core.windows.net/stwpnjeda/pdfs/agendas/08092016_agenda.pdf - page=18" xr:uid="{4CE28D78-448D-42D1-AA87-F5859EE7404F}"/>
    <hyperlink ref="C280" r:id="rId184" location="page=116" display="Carrino Plaza Apartments LLC " xr:uid="{E01AF75A-68C2-4DB1-911B-A682B6A3F469}"/>
    <hyperlink ref="C281" r:id="rId185" location="page=36" display="https://spruceblob01.blob.core.windows.net/stwpnjeda/pdfs/agendas/06132017_agenda.pdf - page=36" xr:uid="{F9F6F137-D3D8-40EF-9A50-5F2029ED0C48}"/>
    <hyperlink ref="C282" r:id="rId186" location="page=32" display="New Horizons Phase I Urban Renewal Associates, LP and Newark Housing Authority *" xr:uid="{4383BD8B-8453-49EE-824A-EF795E84685F}"/>
    <hyperlink ref="C137" r:id="rId187" location="page=29" xr:uid="{66740371-37FD-4937-8671-9E8B335EA303}"/>
    <hyperlink ref="C138" r:id="rId188" location="page=47" xr:uid="{F7E52792-DB98-4208-8CF1-6F44076AA6D6}"/>
    <hyperlink ref="C139" r:id="rId189" location="page=86" xr:uid="{E1FCFFCF-1AF1-4CBB-AAD7-E202AF9804BB}"/>
    <hyperlink ref="C140" r:id="rId190" location="page=34" xr:uid="{FA3E1381-B1DB-4EFB-90EC-8A570DDF583F}"/>
    <hyperlink ref="C141" r:id="rId191" location="page=53" xr:uid="{C1B8BCB0-1C0E-4E5B-B053-AC2E82772578}"/>
    <hyperlink ref="C142" r:id="rId192" location="page=123" xr:uid="{671E9495-C817-417E-B5EA-2DF00EF45120}"/>
    <hyperlink ref="C143" r:id="rId193" location="page=58" xr:uid="{6B571BA3-6CBB-484C-8AB1-04CD194E3D34}"/>
    <hyperlink ref="C18" r:id="rId194" location="page=142" xr:uid="{99220BF3-4394-4885-BBFE-75299557F8EE}"/>
    <hyperlink ref="C17" r:id="rId195" location="page=77" xr:uid="{F545AE8E-5DF4-46D0-93F6-297710D83ACA}"/>
    <hyperlink ref="C283" r:id="rId196" location="page=13" xr:uid="{F1154221-65B2-4BB5-A147-91483FFBB82B}"/>
    <hyperlink ref="C284" r:id="rId197" location="page=23" xr:uid="{CDAA05FE-AB25-4E98-9C36-22B9C50271D7}"/>
  </hyperlinks>
  <printOptions horizontalCentered="1"/>
  <pageMargins left="0.25" right="0.25" top="0.75" bottom="0.75" header="0.3" footer="0.3"/>
  <pageSetup paperSize="5" scale="20" fitToHeight="3" orientation="landscape" r:id="rId198"/>
  <headerFooter>
    <oddHeader>&amp;CNEW JERSEY ECONOMIC DEVELOPMENT AUTHORITY
Completed and Certified Incentive Projects</oddHeader>
  </headerFooter>
  <rowBreaks count="2" manualBreakCount="2">
    <brk id="228" max="16383" man="1"/>
    <brk id="299" max="16383" man="1"/>
  </rowBreaks>
  <ignoredErrors>
    <ignoredError sqref="E306 E309:F309 G305:G309 H305 I316 F310:F312 H306:H307 J306:K307 I305:K305 H309 H308:I308 J308:K308 J314:K314 I310:K310 E311:E313 K311 J309:K309 J311 G311:H311 G312:G313 G310:H310 H312:I312 H313 J313 K313 J312:K312 I309 I311" formulaRange="1"/>
  </ignoredErrors>
  <drawing r:id="rId19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0817ADFB03984091DA5DDA2C835A8A" ma:contentTypeVersion="10" ma:contentTypeDescription="Create a new document." ma:contentTypeScope="" ma:versionID="b821136f812f3da12d07c2d629131a6e">
  <xsd:schema xmlns:xsd="http://www.w3.org/2001/XMLSchema" xmlns:xs="http://www.w3.org/2001/XMLSchema" xmlns:p="http://schemas.microsoft.com/office/2006/metadata/properties" xmlns:ns3="88e38285-d0c3-4124-9c07-d60cd7fde9a6" xmlns:ns4="d19e27fe-a645-411a-877f-30edc9a48259" targetNamespace="http://schemas.microsoft.com/office/2006/metadata/properties" ma:root="true" ma:fieldsID="f1a0a4fdd39a273789f650db4051da8a" ns3:_="" ns4:_="">
    <xsd:import namespace="88e38285-d0c3-4124-9c07-d60cd7fde9a6"/>
    <xsd:import namespace="d19e27fe-a645-411a-877f-30edc9a4825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38285-d0c3-4124-9c07-d60cd7fde9a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9e27fe-a645-411a-877f-30edc9a482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F71C9C-4933-4E3F-9A25-31A1B97FC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38285-d0c3-4124-9c07-d60cd7fde9a6"/>
    <ds:schemaRef ds:uri="d19e27fe-a645-411a-877f-30edc9a482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76B10C-296A-46B5-A587-2AF39A2800A9}">
  <ds:schemaRefs>
    <ds:schemaRef ds:uri="http://schemas.microsoft.com/sharepoint/v3/contenttype/forms"/>
  </ds:schemaRefs>
</ds:datastoreItem>
</file>

<file path=customXml/itemProps3.xml><?xml version="1.0" encoding="utf-8"?>
<ds:datastoreItem xmlns:ds="http://schemas.openxmlformats.org/officeDocument/2006/customXml" ds:itemID="{AE4EED45-FAC1-43B5-B121-E1E5F986352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19e27fe-a645-411a-877f-30edc9a48259"/>
    <ds:schemaRef ds:uri="88e38285-d0c3-4124-9c07-d60cd7fde9a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 J. Rose</dc:creator>
  <cp:keywords/>
  <dc:description/>
  <cp:lastModifiedBy>Janet Halo</cp:lastModifiedBy>
  <cp:revision/>
  <cp:lastPrinted>2024-08-20T15:19:41Z</cp:lastPrinted>
  <dcterms:created xsi:type="dcterms:W3CDTF">2015-05-08T16:05:09Z</dcterms:created>
  <dcterms:modified xsi:type="dcterms:W3CDTF">2024-08-20T15:20:38Z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0x0101009B0817ADFB03984091DA5DDA2C835A8A</vt:lpwstr>
  </property>
</Properties>
</file>